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atest 2018-2019\"/>
    </mc:Choice>
  </mc:AlternateContent>
  <bookViews>
    <workbookView xWindow="0" yWindow="36" windowWidth="19200" windowHeight="8520" activeTab="1"/>
  </bookViews>
  <sheets>
    <sheet name="SUPPLEMENTARY" sheetId="3" r:id="rId1"/>
    <sheet name="2018-19 FY" sheetId="4" r:id="rId2"/>
    <sheet name="Sheet1" sheetId="5" r:id="rId3"/>
    <sheet name="New Findings " sheetId="6" r:id="rId4"/>
  </sheets>
  <definedNames>
    <definedName name="_xlnm._FilterDatabase" localSheetId="1" hidden="1">'2018-19 FY'!$B$1:$B$104</definedName>
    <definedName name="_xlnm.Print_Area" localSheetId="1">'2018-19 FY'!$A$1:$I$102</definedName>
    <definedName name="_xlnm.Print_Titles" localSheetId="1">'2018-19 FY'!$A:$F,'2018-19 FY'!$1:$2</definedName>
  </definedNames>
  <calcPr calcId="152511"/>
</workbook>
</file>

<file path=xl/calcChain.xml><?xml version="1.0" encoding="utf-8"?>
<calcChain xmlns="http://schemas.openxmlformats.org/spreadsheetml/2006/main">
  <c r="G98" i="4" l="1"/>
  <c r="C73" i="4" l="1"/>
  <c r="C72" i="4"/>
  <c r="I91" i="4" l="1"/>
  <c r="C20" i="4" l="1"/>
  <c r="B20" i="4"/>
  <c r="B17" i="4" l="1"/>
  <c r="C26" i="4" l="1"/>
  <c r="C24" i="4"/>
  <c r="C22" i="4"/>
  <c r="C21" i="4"/>
  <c r="C19" i="4"/>
  <c r="C18" i="4"/>
  <c r="C17" i="4"/>
  <c r="C16" i="4"/>
  <c r="C15" i="4"/>
  <c r="C14" i="4"/>
  <c r="C13" i="4"/>
  <c r="C10" i="4"/>
  <c r="C9" i="4"/>
  <c r="C7" i="4"/>
  <c r="C4" i="4"/>
  <c r="C89" i="4"/>
  <c r="C88" i="4"/>
  <c r="C87" i="4"/>
  <c r="C86" i="4"/>
  <c r="C85" i="4"/>
  <c r="C84" i="4"/>
  <c r="C82" i="4"/>
  <c r="C80" i="4"/>
  <c r="C79" i="4"/>
  <c r="C75" i="4"/>
  <c r="C70" i="4"/>
  <c r="C69" i="4"/>
  <c r="C68" i="4"/>
  <c r="C67" i="4"/>
  <c r="C65" i="4"/>
  <c r="C64" i="4"/>
  <c r="C63" i="4"/>
  <c r="C62" i="4"/>
  <c r="C60" i="4"/>
  <c r="C59" i="4"/>
  <c r="C57" i="4"/>
  <c r="C55" i="4"/>
  <c r="C54" i="4"/>
  <c r="C53" i="4"/>
  <c r="C51" i="4"/>
  <c r="C50" i="4"/>
  <c r="C46" i="4"/>
  <c r="C45" i="4"/>
  <c r="C44" i="4"/>
  <c r="C43" i="4"/>
  <c r="C36" i="4"/>
  <c r="C33" i="4"/>
  <c r="C32" i="4"/>
  <c r="C29" i="4"/>
  <c r="C6" i="4"/>
  <c r="D11" i="4" l="1"/>
  <c r="E11" i="4"/>
  <c r="F11" i="4"/>
  <c r="C5" i="4"/>
  <c r="C3" i="4" s="1"/>
  <c r="C25" i="4" l="1"/>
  <c r="C23" i="4"/>
  <c r="C12" i="4"/>
  <c r="C11" i="4" l="1"/>
  <c r="I83" i="4"/>
  <c r="I77" i="4"/>
  <c r="I66" i="4"/>
  <c r="I41" i="4"/>
  <c r="I31" i="4"/>
  <c r="I27" i="4"/>
  <c r="I11" i="4"/>
  <c r="I3" i="4"/>
  <c r="K90" i="4"/>
  <c r="J91" i="4" l="1"/>
  <c r="J77" i="4"/>
  <c r="J66" i="4"/>
  <c r="J48" i="4"/>
  <c r="J31" i="4"/>
  <c r="J97" i="4"/>
  <c r="J83" i="4"/>
  <c r="J41" i="4"/>
  <c r="J35" i="4"/>
  <c r="J27" i="4"/>
  <c r="J11" i="4"/>
  <c r="J3" i="4"/>
  <c r="G99" i="4"/>
  <c r="G93" i="4"/>
  <c r="K93" i="4" s="1"/>
  <c r="G94" i="4"/>
  <c r="K94" i="4" s="1"/>
  <c r="G95" i="4"/>
  <c r="K95" i="4" s="1"/>
  <c r="G96" i="4"/>
  <c r="K96" i="4" l="1"/>
  <c r="J100" i="4"/>
  <c r="J102" i="4" s="1"/>
  <c r="G8" i="4"/>
  <c r="K8" i="4" s="1"/>
  <c r="G12" i="4"/>
  <c r="K12" i="4" s="1"/>
  <c r="G15" i="4"/>
  <c r="K15" i="4" s="1"/>
  <c r="G23" i="4"/>
  <c r="K23" i="4" s="1"/>
  <c r="G30" i="4"/>
  <c r="K30" i="4" s="1"/>
  <c r="G61" i="4"/>
  <c r="K61" i="4" s="1"/>
  <c r="G101" i="4"/>
  <c r="B76" i="4" l="1"/>
  <c r="G76" i="4" s="1"/>
  <c r="K76" i="4" s="1"/>
  <c r="F27" i="4" l="1"/>
  <c r="B19" i="4" l="1"/>
  <c r="G19" i="4" s="1"/>
  <c r="K19" i="4" s="1"/>
  <c r="D28" i="4" l="1"/>
  <c r="D27" i="4" s="1"/>
  <c r="E92" i="4" l="1"/>
  <c r="G92" i="4" s="1"/>
  <c r="K92" i="4" s="1"/>
  <c r="O90" i="4"/>
  <c r="B89" i="4"/>
  <c r="G89" i="4" s="1"/>
  <c r="K89" i="4" s="1"/>
  <c r="B88" i="4"/>
  <c r="G88" i="4" s="1"/>
  <c r="K88" i="4" s="1"/>
  <c r="B87" i="4"/>
  <c r="G87" i="4" s="1"/>
  <c r="K87" i="4" s="1"/>
  <c r="B86" i="4"/>
  <c r="G86" i="4" s="1"/>
  <c r="K86" i="4" s="1"/>
  <c r="B85" i="4"/>
  <c r="G85" i="4" s="1"/>
  <c r="K85" i="4" s="1"/>
  <c r="B84" i="4"/>
  <c r="G84" i="4" s="1"/>
  <c r="K84" i="4" s="1"/>
  <c r="B82" i="4"/>
  <c r="G82" i="4" s="1"/>
  <c r="K82" i="4" s="1"/>
  <c r="B81" i="4"/>
  <c r="G81" i="4" s="1"/>
  <c r="K81" i="4" s="1"/>
  <c r="B80" i="4"/>
  <c r="G80" i="4" s="1"/>
  <c r="K80" i="4" s="1"/>
  <c r="B79" i="4"/>
  <c r="G79" i="4" s="1"/>
  <c r="K79" i="4" s="1"/>
  <c r="B78" i="4"/>
  <c r="G78" i="4" s="1"/>
  <c r="K78" i="4" s="1"/>
  <c r="B75" i="4"/>
  <c r="G75" i="4" s="1"/>
  <c r="K75" i="4" s="1"/>
  <c r="B74" i="4"/>
  <c r="G74" i="4" s="1"/>
  <c r="K74" i="4" s="1"/>
  <c r="B73" i="4"/>
  <c r="G73" i="4" s="1"/>
  <c r="K73" i="4" s="1"/>
  <c r="B72" i="4"/>
  <c r="G72" i="4" s="1"/>
  <c r="K72" i="4" s="1"/>
  <c r="B71" i="4"/>
  <c r="G71" i="4" s="1"/>
  <c r="K71" i="4" s="1"/>
  <c r="B70" i="4"/>
  <c r="G70" i="4" s="1"/>
  <c r="K70" i="4" s="1"/>
  <c r="B69" i="4"/>
  <c r="G69" i="4" s="1"/>
  <c r="K69" i="4" s="1"/>
  <c r="B68" i="4"/>
  <c r="G68" i="4" s="1"/>
  <c r="K68" i="4" s="1"/>
  <c r="B67" i="4"/>
  <c r="G67" i="4" s="1"/>
  <c r="K67" i="4" s="1"/>
  <c r="B65" i="4"/>
  <c r="G65" i="4" s="1"/>
  <c r="K65" i="4" s="1"/>
  <c r="B64" i="4"/>
  <c r="G64" i="4" s="1"/>
  <c r="K64" i="4" s="1"/>
  <c r="B63" i="4"/>
  <c r="G63" i="4" s="1"/>
  <c r="K63" i="4" s="1"/>
  <c r="B62" i="4"/>
  <c r="G62" i="4" s="1"/>
  <c r="K62" i="4" s="1"/>
  <c r="B60" i="4"/>
  <c r="G60" i="4" s="1"/>
  <c r="K60" i="4" s="1"/>
  <c r="B58" i="4"/>
  <c r="G58" i="4" s="1"/>
  <c r="K58" i="4" s="1"/>
  <c r="B57" i="4"/>
  <c r="G57" i="4" s="1"/>
  <c r="K57" i="4" s="1"/>
  <c r="B56" i="4"/>
  <c r="B55" i="4"/>
  <c r="G55" i="4" s="1"/>
  <c r="K55" i="4" s="1"/>
  <c r="B54" i="4"/>
  <c r="G54" i="4" s="1"/>
  <c r="K54" i="4" s="1"/>
  <c r="B53" i="4"/>
  <c r="G53" i="4" s="1"/>
  <c r="K53" i="4" s="1"/>
  <c r="B52" i="4"/>
  <c r="G52" i="4" s="1"/>
  <c r="K52" i="4" s="1"/>
  <c r="B51" i="4"/>
  <c r="G51" i="4" s="1"/>
  <c r="B50" i="4"/>
  <c r="G50" i="4" s="1"/>
  <c r="K50" i="4" s="1"/>
  <c r="B49" i="4"/>
  <c r="G49" i="4" s="1"/>
  <c r="K49" i="4" s="1"/>
  <c r="B47" i="4"/>
  <c r="G47" i="4" s="1"/>
  <c r="K47" i="4" s="1"/>
  <c r="B46" i="4"/>
  <c r="G46" i="4" s="1"/>
  <c r="K46" i="4" s="1"/>
  <c r="B45" i="4"/>
  <c r="G45" i="4" s="1"/>
  <c r="K45" i="4" s="1"/>
  <c r="B44" i="4"/>
  <c r="G44" i="4" s="1"/>
  <c r="K44" i="4" s="1"/>
  <c r="B43" i="4"/>
  <c r="G43" i="4" s="1"/>
  <c r="K43" i="4" s="1"/>
  <c r="B42" i="4"/>
  <c r="G42" i="4" s="1"/>
  <c r="K42" i="4" s="1"/>
  <c r="B40" i="4"/>
  <c r="G40" i="4" s="1"/>
  <c r="K40" i="4" s="1"/>
  <c r="B39" i="4"/>
  <c r="G39" i="4" s="1"/>
  <c r="K39" i="4" s="1"/>
  <c r="B38" i="4"/>
  <c r="G38" i="4" s="1"/>
  <c r="K38" i="4" s="1"/>
  <c r="B37" i="4"/>
  <c r="G37" i="4" s="1"/>
  <c r="K37" i="4" s="1"/>
  <c r="B36" i="4"/>
  <c r="G36" i="4" s="1"/>
  <c r="B34" i="4"/>
  <c r="G34" i="4" s="1"/>
  <c r="K34" i="4" s="1"/>
  <c r="B33" i="4"/>
  <c r="G33" i="4" s="1"/>
  <c r="K33" i="4" s="1"/>
  <c r="B32" i="4"/>
  <c r="G32" i="4" s="1"/>
  <c r="K32" i="4" s="1"/>
  <c r="B29" i="4"/>
  <c r="G29" i="4" s="1"/>
  <c r="K29" i="4" s="1"/>
  <c r="B28" i="4"/>
  <c r="B26" i="4"/>
  <c r="G26" i="4" s="1"/>
  <c r="K26" i="4" s="1"/>
  <c r="B25" i="4"/>
  <c r="G25" i="4" s="1"/>
  <c r="K25" i="4" s="1"/>
  <c r="B24" i="4"/>
  <c r="G24" i="4" s="1"/>
  <c r="K24" i="4" s="1"/>
  <c r="B22" i="4"/>
  <c r="G22" i="4" s="1"/>
  <c r="K22" i="4" s="1"/>
  <c r="B21" i="4"/>
  <c r="G21" i="4" s="1"/>
  <c r="K21" i="4" s="1"/>
  <c r="G20" i="4"/>
  <c r="K20" i="4" s="1"/>
  <c r="B18" i="4"/>
  <c r="G18" i="4" s="1"/>
  <c r="K18" i="4" s="1"/>
  <c r="G17" i="4"/>
  <c r="B16" i="4"/>
  <c r="G16" i="4" s="1"/>
  <c r="K16" i="4" s="1"/>
  <c r="B14" i="4"/>
  <c r="G14" i="4" s="1"/>
  <c r="K14" i="4" s="1"/>
  <c r="B13" i="4"/>
  <c r="B10" i="4"/>
  <c r="G10" i="4" s="1"/>
  <c r="K10" i="4" s="1"/>
  <c r="B9" i="4"/>
  <c r="G9" i="4" s="1"/>
  <c r="K9" i="4" s="1"/>
  <c r="B7" i="4"/>
  <c r="G7" i="4" s="1"/>
  <c r="K7" i="4" s="1"/>
  <c r="B6" i="4"/>
  <c r="G6" i="4" s="1"/>
  <c r="K6" i="4" s="1"/>
  <c r="B5" i="4"/>
  <c r="G5" i="4" s="1"/>
  <c r="K5" i="4" s="1"/>
  <c r="B4" i="4"/>
  <c r="N89" i="4"/>
  <c r="N88" i="4"/>
  <c r="N87" i="4"/>
  <c r="N86" i="4"/>
  <c r="N85" i="4"/>
  <c r="N84" i="4"/>
  <c r="N82" i="4"/>
  <c r="N81" i="4"/>
  <c r="N80" i="4"/>
  <c r="N79" i="4"/>
  <c r="N78" i="4"/>
  <c r="N76" i="4"/>
  <c r="N75" i="4"/>
  <c r="N74" i="4"/>
  <c r="N73" i="4"/>
  <c r="N72" i="4"/>
  <c r="N71" i="4"/>
  <c r="N70" i="4"/>
  <c r="N69" i="4"/>
  <c r="N68" i="4"/>
  <c r="N67" i="4"/>
  <c r="N65" i="4"/>
  <c r="N64" i="4"/>
  <c r="N63" i="4"/>
  <c r="N62" i="4"/>
  <c r="N60" i="4"/>
  <c r="N58" i="4"/>
  <c r="N57" i="4"/>
  <c r="N56" i="4"/>
  <c r="N55" i="4"/>
  <c r="N54" i="4"/>
  <c r="N53" i="4"/>
  <c r="N52" i="4"/>
  <c r="N51" i="4"/>
  <c r="N50" i="4"/>
  <c r="N49" i="4"/>
  <c r="N47" i="4"/>
  <c r="N46" i="4"/>
  <c r="N45" i="4"/>
  <c r="N44" i="4"/>
  <c r="N43" i="4"/>
  <c r="N42" i="4"/>
  <c r="N39" i="4"/>
  <c r="N38" i="4"/>
  <c r="N37" i="4"/>
  <c r="N36" i="4"/>
  <c r="N34" i="4"/>
  <c r="N33" i="4"/>
  <c r="N32" i="4"/>
  <c r="N29" i="4"/>
  <c r="N28" i="4"/>
  <c r="N26" i="4"/>
  <c r="N25" i="4"/>
  <c r="N24" i="4"/>
  <c r="N22" i="4"/>
  <c r="N21" i="4"/>
  <c r="N20" i="4"/>
  <c r="N19" i="4"/>
  <c r="N18" i="4"/>
  <c r="N17" i="4"/>
  <c r="N16" i="4"/>
  <c r="N14" i="4"/>
  <c r="N13" i="4"/>
  <c r="N10" i="4"/>
  <c r="N9" i="4"/>
  <c r="N7" i="4"/>
  <c r="N6" i="4"/>
  <c r="N5" i="4"/>
  <c r="N4" i="4"/>
  <c r="N59" i="4"/>
  <c r="N40" i="4"/>
  <c r="G13" i="4" l="1"/>
  <c r="K13" i="4" s="1"/>
  <c r="B11" i="4"/>
  <c r="K17" i="4"/>
  <c r="B3" i="4"/>
  <c r="N11" i="4"/>
  <c r="N3" i="4"/>
  <c r="B27" i="4"/>
  <c r="N83" i="4"/>
  <c r="N77" i="4"/>
  <c r="N66" i="4"/>
  <c r="N48" i="4"/>
  <c r="N41" i="4"/>
  <c r="N35" i="4"/>
  <c r="N31" i="4"/>
  <c r="N27" i="4"/>
  <c r="G11" i="4" l="1"/>
  <c r="N90" i="4"/>
  <c r="D56" i="4" l="1"/>
  <c r="G56" i="4" s="1"/>
  <c r="K56" i="4" s="1"/>
  <c r="I16" i="6"/>
  <c r="E27" i="6" l="1"/>
  <c r="E28" i="6"/>
  <c r="E26" i="6"/>
  <c r="E29" i="6" s="1"/>
  <c r="S16" i="6" l="1"/>
  <c r="S17" i="6"/>
  <c r="S18" i="6"/>
  <c r="S19" i="6"/>
  <c r="S20" i="6"/>
  <c r="S21" i="6"/>
  <c r="S22" i="6"/>
  <c r="S15" i="6"/>
  <c r="R22" i="6"/>
  <c r="B59" i="4"/>
  <c r="G59" i="4" s="1"/>
  <c r="K59" i="4" s="1"/>
  <c r="K7" i="6" l="1"/>
  <c r="P11" i="6"/>
  <c r="R9" i="6"/>
  <c r="D8" i="6"/>
  <c r="D7" i="6"/>
  <c r="P10" i="6" s="1"/>
  <c r="D6" i="6"/>
  <c r="C16" i="6"/>
  <c r="D16" i="6"/>
  <c r="D15" i="6"/>
  <c r="D14" i="6"/>
  <c r="D13" i="6"/>
  <c r="E13" i="6" l="1"/>
  <c r="K8" i="6"/>
  <c r="C9" i="6" s="1"/>
  <c r="C10" i="6" l="1"/>
  <c r="D9" i="6"/>
  <c r="D10" i="6" s="1"/>
  <c r="E28" i="4"/>
  <c r="E27" i="4" s="1"/>
  <c r="E10" i="6" l="1"/>
  <c r="M10" i="6" s="1"/>
  <c r="D20" i="6"/>
  <c r="D21" i="6" s="1"/>
  <c r="G78" i="3"/>
  <c r="G79" i="3"/>
  <c r="G80" i="3"/>
  <c r="G81" i="3"/>
  <c r="G82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43" i="3"/>
  <c r="G44" i="3"/>
  <c r="G45" i="3"/>
  <c r="G46" i="3"/>
  <c r="G47" i="3"/>
  <c r="G48" i="3"/>
  <c r="G37" i="3"/>
  <c r="G38" i="3"/>
  <c r="G39" i="3"/>
  <c r="G40" i="3"/>
  <c r="G41" i="3"/>
  <c r="G30" i="3"/>
  <c r="G31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5" i="3"/>
  <c r="G6" i="3"/>
  <c r="G7" i="3"/>
  <c r="G8" i="3"/>
  <c r="G9" i="3"/>
  <c r="G10" i="3"/>
  <c r="G11" i="3"/>
  <c r="G67" i="3"/>
  <c r="G68" i="3"/>
  <c r="G69" i="3"/>
  <c r="G70" i="3"/>
  <c r="G71" i="3"/>
  <c r="G72" i="3"/>
  <c r="G73" i="3"/>
  <c r="G74" i="3"/>
  <c r="G75" i="3"/>
  <c r="G76" i="3"/>
  <c r="M11" i="6" l="1"/>
  <c r="R10" i="6"/>
  <c r="R11" i="6" s="1"/>
  <c r="R13" i="6" s="1"/>
  <c r="R14" i="6" s="1"/>
  <c r="D4" i="5"/>
  <c r="D8" i="5"/>
  <c r="D12" i="5"/>
  <c r="D16" i="5"/>
  <c r="D20" i="5"/>
  <c r="D24" i="5"/>
  <c r="D28" i="5"/>
  <c r="D32" i="5"/>
  <c r="D36" i="5"/>
  <c r="D40" i="5"/>
  <c r="D44" i="5"/>
  <c r="D48" i="5"/>
  <c r="D52" i="5"/>
  <c r="D56" i="5"/>
  <c r="D60" i="5"/>
  <c r="D64" i="5"/>
  <c r="D68" i="5"/>
  <c r="D72" i="5"/>
  <c r="D76" i="5"/>
  <c r="D80" i="5"/>
  <c r="D84" i="5"/>
  <c r="D88" i="5"/>
  <c r="D92" i="5"/>
  <c r="D96" i="5"/>
  <c r="D100" i="5"/>
  <c r="D104" i="5"/>
  <c r="D108" i="5"/>
  <c r="D112" i="5"/>
  <c r="D116" i="5"/>
  <c r="D120" i="5"/>
  <c r="D124" i="5"/>
  <c r="D128" i="5"/>
  <c r="D132" i="5"/>
  <c r="D136" i="5"/>
  <c r="D140" i="5"/>
  <c r="D144" i="5"/>
  <c r="D148" i="5"/>
  <c r="D152" i="5"/>
  <c r="D156" i="5"/>
  <c r="D160" i="5"/>
  <c r="D164" i="5"/>
  <c r="D168" i="5"/>
  <c r="D172" i="5"/>
  <c r="D176" i="5"/>
  <c r="D180" i="5"/>
  <c r="D184" i="5"/>
  <c r="D188" i="5"/>
  <c r="D192" i="5"/>
  <c r="D196" i="5"/>
  <c r="D200" i="5"/>
  <c r="D204" i="5"/>
  <c r="D208" i="5"/>
  <c r="D212" i="5"/>
  <c r="D216" i="5"/>
  <c r="D220" i="5"/>
  <c r="D224" i="5"/>
  <c r="D228" i="5"/>
  <c r="D232" i="5"/>
  <c r="D236" i="5"/>
  <c r="D240" i="5"/>
  <c r="D244" i="5"/>
  <c r="D248" i="5"/>
  <c r="D3" i="5"/>
  <c r="E4" i="5"/>
  <c r="E5" i="5"/>
  <c r="D5" i="5" s="1"/>
  <c r="E6" i="5"/>
  <c r="D6" i="5" s="1"/>
  <c r="E7" i="5"/>
  <c r="D7" i="5" s="1"/>
  <c r="E8" i="5"/>
  <c r="E9" i="5"/>
  <c r="D9" i="5" s="1"/>
  <c r="E10" i="5"/>
  <c r="D10" i="5" s="1"/>
  <c r="E11" i="5"/>
  <c r="D11" i="5" s="1"/>
  <c r="E12" i="5"/>
  <c r="E13" i="5"/>
  <c r="D13" i="5" s="1"/>
  <c r="E14" i="5"/>
  <c r="D14" i="5" s="1"/>
  <c r="E15" i="5"/>
  <c r="D15" i="5" s="1"/>
  <c r="E16" i="5"/>
  <c r="E17" i="5"/>
  <c r="D17" i="5" s="1"/>
  <c r="E18" i="5"/>
  <c r="D18" i="5" s="1"/>
  <c r="E19" i="5"/>
  <c r="D19" i="5" s="1"/>
  <c r="E20" i="5"/>
  <c r="E21" i="5"/>
  <c r="D21" i="5" s="1"/>
  <c r="E22" i="5"/>
  <c r="D22" i="5" s="1"/>
  <c r="E23" i="5"/>
  <c r="D23" i="5" s="1"/>
  <c r="E24" i="5"/>
  <c r="E25" i="5"/>
  <c r="D25" i="5" s="1"/>
  <c r="E26" i="5"/>
  <c r="D26" i="5" s="1"/>
  <c r="E27" i="5"/>
  <c r="D27" i="5" s="1"/>
  <c r="E28" i="5"/>
  <c r="E29" i="5"/>
  <c r="D29" i="5" s="1"/>
  <c r="E30" i="5"/>
  <c r="D30" i="5" s="1"/>
  <c r="E31" i="5"/>
  <c r="D31" i="5" s="1"/>
  <c r="E32" i="5"/>
  <c r="E33" i="5"/>
  <c r="D33" i="5" s="1"/>
  <c r="E34" i="5"/>
  <c r="D34" i="5" s="1"/>
  <c r="E35" i="5"/>
  <c r="D35" i="5" s="1"/>
  <c r="E36" i="5"/>
  <c r="E37" i="5"/>
  <c r="D37" i="5" s="1"/>
  <c r="E38" i="5"/>
  <c r="D38" i="5" s="1"/>
  <c r="E39" i="5"/>
  <c r="D39" i="5" s="1"/>
  <c r="E40" i="5"/>
  <c r="E41" i="5"/>
  <c r="D41" i="5" s="1"/>
  <c r="E42" i="5"/>
  <c r="D42" i="5" s="1"/>
  <c r="E43" i="5"/>
  <c r="D43" i="5" s="1"/>
  <c r="E44" i="5"/>
  <c r="E45" i="5"/>
  <c r="D45" i="5" s="1"/>
  <c r="E46" i="5"/>
  <c r="D46" i="5" s="1"/>
  <c r="E47" i="5"/>
  <c r="D47" i="5" s="1"/>
  <c r="E48" i="5"/>
  <c r="E49" i="5"/>
  <c r="D49" i="5" s="1"/>
  <c r="E50" i="5"/>
  <c r="D50" i="5" s="1"/>
  <c r="E51" i="5"/>
  <c r="D51" i="5" s="1"/>
  <c r="E52" i="5"/>
  <c r="E53" i="5"/>
  <c r="D53" i="5" s="1"/>
  <c r="E54" i="5"/>
  <c r="D54" i="5" s="1"/>
  <c r="E55" i="5"/>
  <c r="D55" i="5" s="1"/>
  <c r="E56" i="5"/>
  <c r="E57" i="5"/>
  <c r="D57" i="5" s="1"/>
  <c r="E58" i="5"/>
  <c r="D58" i="5" s="1"/>
  <c r="E59" i="5"/>
  <c r="D59" i="5" s="1"/>
  <c r="E60" i="5"/>
  <c r="E61" i="5"/>
  <c r="D61" i="5" s="1"/>
  <c r="E62" i="5"/>
  <c r="D62" i="5" s="1"/>
  <c r="E63" i="5"/>
  <c r="D63" i="5" s="1"/>
  <c r="E64" i="5"/>
  <c r="E65" i="5"/>
  <c r="D65" i="5" s="1"/>
  <c r="E66" i="5"/>
  <c r="D66" i="5" s="1"/>
  <c r="E67" i="5"/>
  <c r="D67" i="5" s="1"/>
  <c r="E68" i="5"/>
  <c r="E69" i="5"/>
  <c r="D69" i="5" s="1"/>
  <c r="E70" i="5"/>
  <c r="D70" i="5" s="1"/>
  <c r="E71" i="5"/>
  <c r="D71" i="5" s="1"/>
  <c r="E72" i="5"/>
  <c r="E73" i="5"/>
  <c r="D73" i="5" s="1"/>
  <c r="E74" i="5"/>
  <c r="D74" i="5" s="1"/>
  <c r="E75" i="5"/>
  <c r="D75" i="5" s="1"/>
  <c r="E76" i="5"/>
  <c r="E77" i="5"/>
  <c r="D77" i="5" s="1"/>
  <c r="E78" i="5"/>
  <c r="D78" i="5" s="1"/>
  <c r="E79" i="5"/>
  <c r="D79" i="5" s="1"/>
  <c r="E80" i="5"/>
  <c r="E81" i="5"/>
  <c r="D81" i="5" s="1"/>
  <c r="E82" i="5"/>
  <c r="D82" i="5" s="1"/>
  <c r="E83" i="5"/>
  <c r="D83" i="5" s="1"/>
  <c r="E84" i="5"/>
  <c r="E85" i="5"/>
  <c r="D85" i="5" s="1"/>
  <c r="E86" i="5"/>
  <c r="D86" i="5" s="1"/>
  <c r="E87" i="5"/>
  <c r="D87" i="5" s="1"/>
  <c r="E88" i="5"/>
  <c r="E89" i="5"/>
  <c r="D89" i="5" s="1"/>
  <c r="E90" i="5"/>
  <c r="D90" i="5" s="1"/>
  <c r="E91" i="5"/>
  <c r="D91" i="5" s="1"/>
  <c r="E92" i="5"/>
  <c r="E93" i="5"/>
  <c r="D93" i="5" s="1"/>
  <c r="E94" i="5"/>
  <c r="D94" i="5" s="1"/>
  <c r="E95" i="5"/>
  <c r="D95" i="5" s="1"/>
  <c r="E96" i="5"/>
  <c r="E97" i="5"/>
  <c r="D97" i="5" s="1"/>
  <c r="E98" i="5"/>
  <c r="D98" i="5" s="1"/>
  <c r="E99" i="5"/>
  <c r="D99" i="5" s="1"/>
  <c r="E100" i="5"/>
  <c r="E101" i="5"/>
  <c r="D101" i="5" s="1"/>
  <c r="E102" i="5"/>
  <c r="D102" i="5" s="1"/>
  <c r="E103" i="5"/>
  <c r="D103" i="5" s="1"/>
  <c r="E104" i="5"/>
  <c r="E105" i="5"/>
  <c r="D105" i="5" s="1"/>
  <c r="E106" i="5"/>
  <c r="D106" i="5" s="1"/>
  <c r="E107" i="5"/>
  <c r="D107" i="5" s="1"/>
  <c r="E108" i="5"/>
  <c r="E109" i="5"/>
  <c r="D109" i="5" s="1"/>
  <c r="E110" i="5"/>
  <c r="D110" i="5" s="1"/>
  <c r="E111" i="5"/>
  <c r="D111" i="5" s="1"/>
  <c r="E112" i="5"/>
  <c r="E113" i="5"/>
  <c r="D113" i="5" s="1"/>
  <c r="E114" i="5"/>
  <c r="D114" i="5" s="1"/>
  <c r="E115" i="5"/>
  <c r="D115" i="5" s="1"/>
  <c r="E116" i="5"/>
  <c r="E117" i="5"/>
  <c r="D117" i="5" s="1"/>
  <c r="E118" i="5"/>
  <c r="D118" i="5" s="1"/>
  <c r="E119" i="5"/>
  <c r="D119" i="5" s="1"/>
  <c r="E120" i="5"/>
  <c r="E121" i="5"/>
  <c r="D121" i="5" s="1"/>
  <c r="E122" i="5"/>
  <c r="D122" i="5" s="1"/>
  <c r="E123" i="5"/>
  <c r="D123" i="5" s="1"/>
  <c r="E124" i="5"/>
  <c r="E125" i="5"/>
  <c r="D125" i="5" s="1"/>
  <c r="E126" i="5"/>
  <c r="D126" i="5" s="1"/>
  <c r="E127" i="5"/>
  <c r="D127" i="5" s="1"/>
  <c r="E128" i="5"/>
  <c r="E129" i="5"/>
  <c r="D129" i="5" s="1"/>
  <c r="E130" i="5"/>
  <c r="D130" i="5" s="1"/>
  <c r="E131" i="5"/>
  <c r="D131" i="5" s="1"/>
  <c r="E132" i="5"/>
  <c r="E133" i="5"/>
  <c r="D133" i="5" s="1"/>
  <c r="E134" i="5"/>
  <c r="D134" i="5" s="1"/>
  <c r="E135" i="5"/>
  <c r="D135" i="5" s="1"/>
  <c r="E136" i="5"/>
  <c r="E137" i="5"/>
  <c r="D137" i="5" s="1"/>
  <c r="E138" i="5"/>
  <c r="D138" i="5" s="1"/>
  <c r="E139" i="5"/>
  <c r="D139" i="5" s="1"/>
  <c r="E140" i="5"/>
  <c r="E141" i="5"/>
  <c r="D141" i="5" s="1"/>
  <c r="E142" i="5"/>
  <c r="D142" i="5" s="1"/>
  <c r="E143" i="5"/>
  <c r="D143" i="5" s="1"/>
  <c r="E144" i="5"/>
  <c r="E145" i="5"/>
  <c r="D145" i="5" s="1"/>
  <c r="E146" i="5"/>
  <c r="D146" i="5" s="1"/>
  <c r="E147" i="5"/>
  <c r="D147" i="5" s="1"/>
  <c r="E148" i="5"/>
  <c r="E149" i="5"/>
  <c r="D149" i="5" s="1"/>
  <c r="E150" i="5"/>
  <c r="D150" i="5" s="1"/>
  <c r="E151" i="5"/>
  <c r="D151" i="5" s="1"/>
  <c r="E152" i="5"/>
  <c r="E153" i="5"/>
  <c r="D153" i="5" s="1"/>
  <c r="E154" i="5"/>
  <c r="D154" i="5" s="1"/>
  <c r="E155" i="5"/>
  <c r="D155" i="5" s="1"/>
  <c r="E156" i="5"/>
  <c r="E157" i="5"/>
  <c r="D157" i="5" s="1"/>
  <c r="E158" i="5"/>
  <c r="D158" i="5" s="1"/>
  <c r="E159" i="5"/>
  <c r="D159" i="5" s="1"/>
  <c r="E160" i="5"/>
  <c r="E161" i="5"/>
  <c r="D161" i="5" s="1"/>
  <c r="E162" i="5"/>
  <c r="D162" i="5" s="1"/>
  <c r="E163" i="5"/>
  <c r="D163" i="5" s="1"/>
  <c r="E164" i="5"/>
  <c r="E165" i="5"/>
  <c r="D165" i="5" s="1"/>
  <c r="E166" i="5"/>
  <c r="D166" i="5" s="1"/>
  <c r="E167" i="5"/>
  <c r="D167" i="5" s="1"/>
  <c r="E168" i="5"/>
  <c r="E169" i="5"/>
  <c r="D169" i="5" s="1"/>
  <c r="E170" i="5"/>
  <c r="D170" i="5" s="1"/>
  <c r="E171" i="5"/>
  <c r="D171" i="5" s="1"/>
  <c r="E172" i="5"/>
  <c r="E173" i="5"/>
  <c r="D173" i="5" s="1"/>
  <c r="E174" i="5"/>
  <c r="D174" i="5" s="1"/>
  <c r="E175" i="5"/>
  <c r="D175" i="5" s="1"/>
  <c r="E176" i="5"/>
  <c r="E177" i="5"/>
  <c r="D177" i="5" s="1"/>
  <c r="E178" i="5"/>
  <c r="D178" i="5" s="1"/>
  <c r="E179" i="5"/>
  <c r="D179" i="5" s="1"/>
  <c r="E180" i="5"/>
  <c r="E181" i="5"/>
  <c r="D181" i="5" s="1"/>
  <c r="E182" i="5"/>
  <c r="D182" i="5" s="1"/>
  <c r="E183" i="5"/>
  <c r="D183" i="5" s="1"/>
  <c r="E184" i="5"/>
  <c r="E185" i="5"/>
  <c r="D185" i="5" s="1"/>
  <c r="E186" i="5"/>
  <c r="D186" i="5" s="1"/>
  <c r="E187" i="5"/>
  <c r="D187" i="5" s="1"/>
  <c r="E188" i="5"/>
  <c r="E189" i="5"/>
  <c r="D189" i="5" s="1"/>
  <c r="E190" i="5"/>
  <c r="D190" i="5" s="1"/>
  <c r="E191" i="5"/>
  <c r="D191" i="5" s="1"/>
  <c r="E192" i="5"/>
  <c r="E193" i="5"/>
  <c r="D193" i="5" s="1"/>
  <c r="E194" i="5"/>
  <c r="D194" i="5" s="1"/>
  <c r="E195" i="5"/>
  <c r="D195" i="5" s="1"/>
  <c r="E196" i="5"/>
  <c r="E197" i="5"/>
  <c r="D197" i="5" s="1"/>
  <c r="E198" i="5"/>
  <c r="D198" i="5" s="1"/>
  <c r="E199" i="5"/>
  <c r="D199" i="5" s="1"/>
  <c r="E200" i="5"/>
  <c r="E201" i="5"/>
  <c r="D201" i="5" s="1"/>
  <c r="E202" i="5"/>
  <c r="D202" i="5" s="1"/>
  <c r="E203" i="5"/>
  <c r="D203" i="5" s="1"/>
  <c r="E204" i="5"/>
  <c r="E205" i="5"/>
  <c r="D205" i="5" s="1"/>
  <c r="E206" i="5"/>
  <c r="D206" i="5" s="1"/>
  <c r="E207" i="5"/>
  <c r="D207" i="5" s="1"/>
  <c r="E208" i="5"/>
  <c r="E209" i="5"/>
  <c r="D209" i="5" s="1"/>
  <c r="E210" i="5"/>
  <c r="D210" i="5" s="1"/>
  <c r="E211" i="5"/>
  <c r="D211" i="5" s="1"/>
  <c r="E212" i="5"/>
  <c r="E213" i="5"/>
  <c r="D213" i="5" s="1"/>
  <c r="E214" i="5"/>
  <c r="D214" i="5" s="1"/>
  <c r="E215" i="5"/>
  <c r="D215" i="5" s="1"/>
  <c r="E216" i="5"/>
  <c r="E217" i="5"/>
  <c r="D217" i="5" s="1"/>
  <c r="E218" i="5"/>
  <c r="D218" i="5" s="1"/>
  <c r="E219" i="5"/>
  <c r="D219" i="5" s="1"/>
  <c r="E220" i="5"/>
  <c r="E221" i="5"/>
  <c r="D221" i="5" s="1"/>
  <c r="E222" i="5"/>
  <c r="D222" i="5" s="1"/>
  <c r="E223" i="5"/>
  <c r="D223" i="5" s="1"/>
  <c r="E224" i="5"/>
  <c r="E225" i="5"/>
  <c r="D225" i="5" s="1"/>
  <c r="E226" i="5"/>
  <c r="D226" i="5" s="1"/>
  <c r="E227" i="5"/>
  <c r="D227" i="5" s="1"/>
  <c r="E228" i="5"/>
  <c r="E229" i="5"/>
  <c r="D229" i="5" s="1"/>
  <c r="E230" i="5"/>
  <c r="D230" i="5" s="1"/>
  <c r="E231" i="5"/>
  <c r="D231" i="5" s="1"/>
  <c r="E232" i="5"/>
  <c r="E233" i="5"/>
  <c r="D233" i="5" s="1"/>
  <c r="E234" i="5"/>
  <c r="D234" i="5" s="1"/>
  <c r="E235" i="5"/>
  <c r="D235" i="5" s="1"/>
  <c r="E236" i="5"/>
  <c r="E237" i="5"/>
  <c r="D237" i="5" s="1"/>
  <c r="E238" i="5"/>
  <c r="D238" i="5" s="1"/>
  <c r="E239" i="5"/>
  <c r="D239" i="5" s="1"/>
  <c r="E240" i="5"/>
  <c r="E241" i="5"/>
  <c r="D241" i="5" s="1"/>
  <c r="E242" i="5"/>
  <c r="D242" i="5" s="1"/>
  <c r="E243" i="5"/>
  <c r="D243" i="5" s="1"/>
  <c r="E244" i="5"/>
  <c r="E245" i="5"/>
  <c r="D245" i="5" s="1"/>
  <c r="E246" i="5"/>
  <c r="D246" i="5" s="1"/>
  <c r="E247" i="5"/>
  <c r="D247" i="5" s="1"/>
  <c r="E248" i="5"/>
  <c r="E249" i="5"/>
  <c r="D249" i="5" s="1"/>
  <c r="E250" i="5"/>
  <c r="D250" i="5" s="1"/>
  <c r="E251" i="5"/>
  <c r="D251" i="5" s="1"/>
  <c r="E3" i="5"/>
  <c r="D22" i="6" l="1"/>
  <c r="C28" i="4"/>
  <c r="C27" i="4" l="1"/>
  <c r="G27" i="4" s="1"/>
  <c r="K27" i="4" s="1"/>
  <c r="G28" i="4"/>
  <c r="K28" i="4" s="1"/>
  <c r="E91" i="4"/>
  <c r="G91" i="4" l="1"/>
  <c r="K91" i="4" s="1"/>
  <c r="F83" i="4"/>
  <c r="E83" i="4"/>
  <c r="D83" i="4"/>
  <c r="C83" i="4"/>
  <c r="B83" i="4"/>
  <c r="F77" i="4"/>
  <c r="E77" i="4"/>
  <c r="D77" i="4"/>
  <c r="C77" i="4"/>
  <c r="B77" i="4"/>
  <c r="F66" i="4"/>
  <c r="E66" i="4"/>
  <c r="D66" i="4"/>
  <c r="C66" i="4"/>
  <c r="B66" i="4"/>
  <c r="F48" i="4"/>
  <c r="E48" i="4"/>
  <c r="D48" i="4"/>
  <c r="C48" i="4"/>
  <c r="B48" i="4"/>
  <c r="F41" i="4"/>
  <c r="E41" i="4"/>
  <c r="D41" i="4"/>
  <c r="C41" i="4"/>
  <c r="B41" i="4"/>
  <c r="F35" i="4"/>
  <c r="E35" i="4"/>
  <c r="D35" i="4"/>
  <c r="C35" i="4"/>
  <c r="B35" i="4"/>
  <c r="F31" i="4"/>
  <c r="E31" i="4"/>
  <c r="D31" i="4"/>
  <c r="C31" i="4"/>
  <c r="B31" i="4"/>
  <c r="F3" i="4"/>
  <c r="B100" i="4" l="1"/>
  <c r="B102" i="4"/>
  <c r="G41" i="4"/>
  <c r="K41" i="4" s="1"/>
  <c r="G66" i="4"/>
  <c r="K66" i="4" s="1"/>
  <c r="K11" i="4"/>
  <c r="G83" i="4"/>
  <c r="K83" i="4" s="1"/>
  <c r="G31" i="4"/>
  <c r="K31" i="4" s="1"/>
  <c r="G35" i="4"/>
  <c r="G48" i="4"/>
  <c r="G77" i="4"/>
  <c r="K77" i="4" s="1"/>
  <c r="L39" i="3"/>
  <c r="G33" i="3"/>
  <c r="G34" i="3"/>
  <c r="G35" i="3"/>
  <c r="G84" i="3"/>
  <c r="G85" i="3"/>
  <c r="G86" i="3"/>
  <c r="G87" i="3"/>
  <c r="G88" i="3"/>
  <c r="G89" i="3"/>
  <c r="J85" i="3"/>
  <c r="K39" i="3"/>
  <c r="M39" i="3"/>
  <c r="H31" i="4" l="1"/>
  <c r="N91" i="4"/>
  <c r="N100" i="4" s="1"/>
  <c r="N102" i="4" s="1"/>
  <c r="F83" i="3"/>
  <c r="E83" i="3"/>
  <c r="D83" i="3"/>
  <c r="C83" i="3"/>
  <c r="B83" i="3"/>
  <c r="F77" i="3"/>
  <c r="E77" i="3"/>
  <c r="D77" i="3"/>
  <c r="C77" i="3"/>
  <c r="B77" i="3"/>
  <c r="F66" i="3"/>
  <c r="E66" i="3"/>
  <c r="D66" i="3"/>
  <c r="C66" i="3"/>
  <c r="B66" i="3"/>
  <c r="F49" i="3"/>
  <c r="E49" i="3"/>
  <c r="D49" i="3"/>
  <c r="C49" i="3"/>
  <c r="B49" i="3"/>
  <c r="F42" i="3"/>
  <c r="E42" i="3"/>
  <c r="D42" i="3"/>
  <c r="C42" i="3"/>
  <c r="B42" i="3"/>
  <c r="F36" i="3"/>
  <c r="E36" i="3"/>
  <c r="D36" i="3"/>
  <c r="C36" i="3"/>
  <c r="B36" i="3"/>
  <c r="F32" i="3"/>
  <c r="E32" i="3"/>
  <c r="D32" i="3"/>
  <c r="C32" i="3"/>
  <c r="B32" i="3"/>
  <c r="F29" i="3"/>
  <c r="E29" i="3"/>
  <c r="D29" i="3"/>
  <c r="C29" i="3"/>
  <c r="B29" i="3"/>
  <c r="F12" i="3"/>
  <c r="E12" i="3"/>
  <c r="D12" i="3"/>
  <c r="C12" i="3"/>
  <c r="B12" i="3"/>
  <c r="F4" i="3"/>
  <c r="E4" i="3"/>
  <c r="D4" i="3"/>
  <c r="C4" i="3"/>
  <c r="B4" i="3"/>
  <c r="G12" i="3" l="1"/>
  <c r="G32" i="3"/>
  <c r="G42" i="3"/>
  <c r="G83" i="3"/>
  <c r="G66" i="3"/>
  <c r="G4" i="3"/>
  <c r="G49" i="3"/>
  <c r="G29" i="3"/>
  <c r="G36" i="3"/>
  <c r="G77" i="3"/>
  <c r="G90" i="3" l="1"/>
  <c r="D3" i="4"/>
  <c r="E3" i="4"/>
  <c r="E100" i="4" s="1"/>
  <c r="E102" i="4" l="1"/>
  <c r="D100" i="4"/>
  <c r="Q100" i="4"/>
  <c r="D102" i="4" l="1"/>
  <c r="F97" i="4" l="1"/>
  <c r="G97" i="4" l="1"/>
  <c r="K97" i="4" s="1"/>
  <c r="F100" i="4"/>
  <c r="F102" i="4" s="1"/>
  <c r="G4" i="4"/>
  <c r="G3" i="4"/>
  <c r="C100" i="4" l="1"/>
  <c r="G100" i="4" s="1"/>
  <c r="G102" i="4" s="1"/>
  <c r="K4" i="4"/>
  <c r="K3" i="4" s="1"/>
  <c r="C102" i="4" l="1"/>
  <c r="H4" i="4"/>
  <c r="H77" i="4" l="1"/>
  <c r="H35" i="4"/>
  <c r="E103" i="4"/>
  <c r="F103" i="4"/>
  <c r="H58" i="4"/>
  <c r="H15" i="4"/>
  <c r="H62" i="4"/>
  <c r="H76" i="4"/>
  <c r="H28" i="4"/>
  <c r="H83" i="4"/>
  <c r="H24" i="4"/>
  <c r="H42" i="4"/>
  <c r="H71" i="4"/>
  <c r="B103" i="4"/>
  <c r="H54" i="4"/>
  <c r="H6" i="4"/>
  <c r="H36" i="4"/>
  <c r="K36" i="4" s="1"/>
  <c r="H93" i="4"/>
  <c r="H60" i="4"/>
  <c r="H89" i="4"/>
  <c r="H43" i="4"/>
  <c r="H10" i="4"/>
  <c r="H52" i="4"/>
  <c r="H90" i="4"/>
  <c r="H44" i="4"/>
  <c r="H81" i="4"/>
  <c r="H16" i="4"/>
  <c r="H70" i="4"/>
  <c r="H27" i="4"/>
  <c r="H38" i="4"/>
  <c r="H87" i="4"/>
  <c r="H37" i="4"/>
  <c r="H100" i="4"/>
  <c r="H61" i="4"/>
  <c r="H53" i="4"/>
  <c r="H22" i="4"/>
  <c r="H45" i="4"/>
  <c r="H65" i="4"/>
  <c r="H49" i="4"/>
  <c r="H48" i="4"/>
  <c r="H99" i="4"/>
  <c r="H78" i="4"/>
  <c r="H7" i="4"/>
  <c r="H11" i="4"/>
  <c r="H40" i="4"/>
  <c r="H19" i="4"/>
  <c r="H73" i="4"/>
  <c r="H95" i="4"/>
  <c r="H3" i="4"/>
  <c r="H17" i="4"/>
  <c r="H69" i="4"/>
  <c r="K100" i="4"/>
  <c r="H9" i="4"/>
  <c r="H47" i="4"/>
  <c r="H21" i="4"/>
  <c r="H34" i="4"/>
  <c r="H57" i="4"/>
  <c r="H67" i="4"/>
  <c r="H94" i="4"/>
  <c r="H13" i="4"/>
  <c r="H66" i="4"/>
  <c r="H92" i="4"/>
  <c r="H26" i="4"/>
  <c r="H72" i="4"/>
  <c r="H75" i="4"/>
  <c r="H14" i="4"/>
  <c r="H55" i="4"/>
  <c r="H41" i="4"/>
  <c r="H50" i="4"/>
  <c r="H88" i="4"/>
  <c r="H59" i="4"/>
  <c r="H12" i="4"/>
  <c r="D103" i="4"/>
  <c r="H74" i="4"/>
  <c r="H39" i="4"/>
  <c r="H63" i="4"/>
  <c r="H5" i="4"/>
  <c r="H32" i="4"/>
  <c r="H30" i="4"/>
  <c r="H51" i="4"/>
  <c r="K51" i="4" s="1"/>
  <c r="H18" i="4"/>
  <c r="H86" i="4"/>
  <c r="H29" i="4"/>
  <c r="H33" i="4"/>
  <c r="H20" i="4"/>
  <c r="H82" i="4"/>
  <c r="H64" i="4"/>
  <c r="H79" i="4"/>
  <c r="H25" i="4"/>
  <c r="H8" i="4"/>
  <c r="H84" i="4"/>
  <c r="H91" i="4"/>
  <c r="H97" i="4"/>
  <c r="H85" i="4"/>
  <c r="H56" i="4"/>
  <c r="H80" i="4"/>
  <c r="H46" i="4"/>
  <c r="H23" i="4"/>
  <c r="H68" i="4"/>
  <c r="C103" i="4"/>
  <c r="K102" i="4" l="1"/>
  <c r="I35" i="4"/>
  <c r="K35" i="4" s="1"/>
  <c r="I48" i="4"/>
  <c r="K48" i="4" s="1"/>
</calcChain>
</file>

<file path=xl/comments1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13 million for SS Custom is added to this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For transfers to cooperatives 
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 million for Nationality and Passport added</t>
        </r>
      </text>
    </comment>
    <comment ref="P10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Allocated 10%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Already factored in</t>
        </r>
      </text>
    </comment>
  </commentList>
</comments>
</file>

<file path=xl/sharedStrings.xml><?xml version="1.0" encoding="utf-8"?>
<sst xmlns="http://schemas.openxmlformats.org/spreadsheetml/2006/main" count="495" uniqueCount="227">
  <si>
    <t>Accountability</t>
  </si>
  <si>
    <t>Ministry of Finance &amp; Planning</t>
  </si>
  <si>
    <t>Audit Chamber</t>
  </si>
  <si>
    <t>National Bureau of Statistics</t>
  </si>
  <si>
    <t>Anti-Corruption Commission</t>
  </si>
  <si>
    <t>SS Fiscal &amp; Financial Allocation &amp; Monitoring Commission</t>
  </si>
  <si>
    <t>South Sudan Reconstruction &amp; Development Fund</t>
  </si>
  <si>
    <t>National Revenue Authority</t>
  </si>
  <si>
    <t>Economic Functions</t>
  </si>
  <si>
    <t>Ministry of Petroleum</t>
  </si>
  <si>
    <t>Ministry of Information, Communication, Technology &amp; Postal Ser</t>
  </si>
  <si>
    <t>Ministry of Energy &amp; Dams</t>
  </si>
  <si>
    <t>Ministry of Trade, Investment &amp; Industry</t>
  </si>
  <si>
    <t>South Sudan Urban Water Corporation</t>
  </si>
  <si>
    <t>Electricity Corporation</t>
  </si>
  <si>
    <t>Investment Authority</t>
  </si>
  <si>
    <t>National Bureau of Standards</t>
  </si>
  <si>
    <t>Petroleum and Gas Commission</t>
  </si>
  <si>
    <t>National Communications Authority</t>
  </si>
  <si>
    <t>Ministry of Water Resources &amp; Irrigation</t>
  </si>
  <si>
    <t>Ministry of Mining</t>
  </si>
  <si>
    <t>East African Community</t>
  </si>
  <si>
    <t>South Sudan Broadcasting Commission</t>
  </si>
  <si>
    <t>Media Authority</t>
  </si>
  <si>
    <t>Access to Information Commission</t>
  </si>
  <si>
    <t>Education</t>
  </si>
  <si>
    <t>Ministry of General Education &amp; Instruction</t>
  </si>
  <si>
    <t>Ministry of Higher Education Science &amp; Technology</t>
  </si>
  <si>
    <t>Health</t>
  </si>
  <si>
    <t>Ministry of Health</t>
  </si>
  <si>
    <t>HIV/Aids Commission</t>
  </si>
  <si>
    <t>Drug and Food Control Authority</t>
  </si>
  <si>
    <t>Infrastructure</t>
  </si>
  <si>
    <t>Ministry of Lands, Housing &amp; Urban Development</t>
  </si>
  <si>
    <t>Ministry of Transport</t>
  </si>
  <si>
    <t>South Sudan Roads Authority</t>
  </si>
  <si>
    <t>South Sudan Civil Aviation Authority</t>
  </si>
  <si>
    <t>Ministry of Roads &amp; Bridges</t>
  </si>
  <si>
    <t>Natural Resources &amp; Rural Devt</t>
  </si>
  <si>
    <t>Ministry of Agriculture &amp; Food Security</t>
  </si>
  <si>
    <t>Tourism</t>
  </si>
  <si>
    <t>Wildlife Conservation</t>
  </si>
  <si>
    <t>Ministry of Environment &amp; Forestry</t>
  </si>
  <si>
    <t>Ministry of Livestock &amp; Fisheries Industry</t>
  </si>
  <si>
    <t>South Sudan Land Commission</t>
  </si>
  <si>
    <t>Public Administration</t>
  </si>
  <si>
    <t>Office of the President</t>
  </si>
  <si>
    <t>Ministry of Cabinet Affairs</t>
  </si>
  <si>
    <t>Ministry of Foreign Affairs &amp; International Cooperation</t>
  </si>
  <si>
    <t>Ministry of Labour, Public Service &amp; Human Resource Developmen</t>
  </si>
  <si>
    <t>National Legislative Assembly</t>
  </si>
  <si>
    <t>South Sudan Civil Service Commission</t>
  </si>
  <si>
    <t>South Sudan Local Government Board</t>
  </si>
  <si>
    <t>South Sudan Employees Justice Chamber</t>
  </si>
  <si>
    <t>South Sudan Public Grievances Chamber</t>
  </si>
  <si>
    <t>National Elections Commission</t>
  </si>
  <si>
    <t>Council of States</t>
  </si>
  <si>
    <t>National Constitution Review Commission</t>
  </si>
  <si>
    <t>Parliamentary Service Commission</t>
  </si>
  <si>
    <t>Federal Affairs</t>
  </si>
  <si>
    <t>Northern Corridor Implementation Authority</t>
  </si>
  <si>
    <t>Parliamentary Affairs</t>
  </si>
  <si>
    <t>Rule of Law</t>
  </si>
  <si>
    <t>Ministry of Justice &amp; Constitutional Affairs</t>
  </si>
  <si>
    <t>Ministry of Interior</t>
  </si>
  <si>
    <t>Police</t>
  </si>
  <si>
    <t>Prisons</t>
  </si>
  <si>
    <t>Fire Brigade</t>
  </si>
  <si>
    <t>Judiciary of South Sudan</t>
  </si>
  <si>
    <t>South Sudan Law Review Commission</t>
  </si>
  <si>
    <t>Bureau of Community Security &amp; Small Arms Control</t>
  </si>
  <si>
    <t>South Sudan Human Rights Commission</t>
  </si>
  <si>
    <t>Commission for Refugees Affairs</t>
  </si>
  <si>
    <t>Security</t>
  </si>
  <si>
    <t>Defence</t>
  </si>
  <si>
    <t>Veteran Affairs</t>
  </si>
  <si>
    <t>National Mine Action Authority</t>
  </si>
  <si>
    <t>Disarmament, Demoblization &amp; Reintegration Commission</t>
  </si>
  <si>
    <t>National Security Service</t>
  </si>
  <si>
    <t>Social &amp; Humanitarian Affairs</t>
  </si>
  <si>
    <t>Ministry of Gender, Child &amp; Social Welfare</t>
  </si>
  <si>
    <t>Ministry of Culture, Youth &amp; Sport</t>
  </si>
  <si>
    <t>Ministry of Humanitarian Affairs &amp; Disaster Management</t>
  </si>
  <si>
    <t>South Sudan Relief &amp; Rehabilitation Commission</t>
  </si>
  <si>
    <t>Peace Commission</t>
  </si>
  <si>
    <t>War Disabled, Widows &amp; Orphans Commission</t>
  </si>
  <si>
    <t xml:space="preserve">Wages and Salaries </t>
  </si>
  <si>
    <t>Uses of goods and Services</t>
  </si>
  <si>
    <t xml:space="preserve">Capital </t>
  </si>
  <si>
    <t xml:space="preserve">Transfers </t>
  </si>
  <si>
    <t xml:space="preserve">Others  Expenditures </t>
  </si>
  <si>
    <t xml:space="preserve">FY 2017/2018 </t>
  </si>
  <si>
    <t>Spending Agencies by Sector</t>
  </si>
  <si>
    <t>TOTAL</t>
  </si>
  <si>
    <t>Political Parties Affairs</t>
  </si>
  <si>
    <t>Peace Budget</t>
  </si>
  <si>
    <t xml:space="preserve">Transfers to States </t>
  </si>
  <si>
    <t>Block Transfers</t>
  </si>
  <si>
    <t>County Block Transfers</t>
  </si>
  <si>
    <t>County Development Grants</t>
  </si>
  <si>
    <t>STAG Transfers</t>
  </si>
  <si>
    <t>Interest and related bank charges</t>
  </si>
  <si>
    <t xml:space="preserve"> Total Government Spending</t>
  </si>
  <si>
    <t xml:space="preserve">External Grant Loan </t>
  </si>
  <si>
    <t>Total Spending</t>
  </si>
  <si>
    <t>Operating</t>
  </si>
  <si>
    <t>Capital</t>
  </si>
  <si>
    <t>Description</t>
  </si>
  <si>
    <t>YTD Actual</t>
  </si>
  <si>
    <t>Commit./Oblig.</t>
  </si>
  <si>
    <t>Surplus/Deficit</t>
  </si>
  <si>
    <t>21 Wages and Salaries</t>
  </si>
  <si>
    <t>22 Goods and Services</t>
  </si>
  <si>
    <t>24 Interest, grants, loans</t>
  </si>
  <si>
    <t>28 Capital Expenditure</t>
  </si>
  <si>
    <t>1001 (OOP) Office of the Presi</t>
  </si>
  <si>
    <t>1002 (NS) National Security</t>
  </si>
  <si>
    <t>1021 (MOJ) Justice &amp; Constit A</t>
  </si>
  <si>
    <t>1031 (MFA) Foreign Affairs &amp; I</t>
  </si>
  <si>
    <t>23 Transfers &amp; Grants</t>
  </si>
  <si>
    <t>1041 (MOF) Fin &amp; Economic Plan</t>
  </si>
  <si>
    <t>1091 (MOH) Health</t>
  </si>
  <si>
    <t>1101 (MLH) Lands, Housing &amp; Ur</t>
  </si>
  <si>
    <t>1141 (MIN) Interior HQ</t>
  </si>
  <si>
    <t>1151(WLD) Wildlife Conserva</t>
  </si>
  <si>
    <t>1152 (TOU) Tourism</t>
  </si>
  <si>
    <t>1161 (POL) Police Service</t>
  </si>
  <si>
    <t>1171 (PRN) Prisons Service</t>
  </si>
  <si>
    <t>1181 (FIR) Fire Brigade</t>
  </si>
  <si>
    <t>1191 (MGC) Gender, Child &amp;</t>
  </si>
  <si>
    <t>1201 (MCY) Culture, Youth &amp;</t>
  </si>
  <si>
    <t>1253(MTI)Trade Inv &amp; Indus</t>
  </si>
  <si>
    <t>1271(MLF) Livestock &amp; Fisherie</t>
  </si>
  <si>
    <t>1281(MHD) Hum Aff &amp; Disaster M</t>
  </si>
  <si>
    <t>1291 (MCA) Cabinet Affairs</t>
  </si>
  <si>
    <t>1301 (MPA) Parliamentary Affai</t>
  </si>
  <si>
    <t>1311 (MED) Min Energy &amp; Dams</t>
  </si>
  <si>
    <t>1321 (MWRI) Water Res &amp; Irriga</t>
  </si>
  <si>
    <t>1331 (MMI) Min of Mining</t>
  </si>
  <si>
    <t>1341 (MPO) Min of Petroleum</t>
  </si>
  <si>
    <t>1351 (DEF) Defence</t>
  </si>
  <si>
    <t>1352 (VAF) Min Veteran Affai</t>
  </si>
  <si>
    <t>1361 (MIC) Min Info Comms Post</t>
  </si>
  <si>
    <t>1371 (MFE) Min Federal Affairs</t>
  </si>
  <si>
    <t>1381 (MTR) Min Transport</t>
  </si>
  <si>
    <t>1391 (MRB) Min Roads &amp; Bridges</t>
  </si>
  <si>
    <t>1401 (MED) Gen Education &amp;</t>
  </si>
  <si>
    <t>1411 (MHE) Higher Educ, Sci &amp;</t>
  </si>
  <si>
    <t>1421 (MAF) Agriculture &amp; Food</t>
  </si>
  <si>
    <t>1431 (MLP) Lab Public Service</t>
  </si>
  <si>
    <t>1441 (MEF) Environment &amp; Fores</t>
  </si>
  <si>
    <t>2001 (NLA) Nat Legisl Assembly</t>
  </si>
  <si>
    <t>2011 (AUD) Audit Chamber</t>
  </si>
  <si>
    <t>2021(STA) Nat Bureau Statistic</t>
  </si>
  <si>
    <t>2031 (JSS) Judiciary of South</t>
  </si>
  <si>
    <t>2041 (ACC) Anti-Corruption Co</t>
  </si>
  <si>
    <t>2051 (FFM) FFAMC</t>
  </si>
  <si>
    <t>2061 (RDF) Rec &amp; Dev Fund</t>
  </si>
  <si>
    <t>2071 (UWC) Urban Water Corp</t>
  </si>
  <si>
    <t>2081 (CSC) Civil Service Commi</t>
  </si>
  <si>
    <t>2091 (LGB) Local Government B</t>
  </si>
  <si>
    <t>2101 (EJC) Empl Justice Chambe</t>
  </si>
  <si>
    <t>2111 (PGC) Publ Grievances Cha</t>
  </si>
  <si>
    <t>2121 (LRC) Law Review Commiss</t>
  </si>
  <si>
    <t>2131 (CSS) Commun Sec &amp; Small</t>
  </si>
  <si>
    <t>2141 (HRC)Human Rights Commi</t>
  </si>
  <si>
    <t>2151 (DMA) De-Mining Authority</t>
  </si>
  <si>
    <t>2161 (DDR) Disarm Demob &amp; Rei</t>
  </si>
  <si>
    <t>2171 (EC) Electricity Coopora</t>
  </si>
  <si>
    <t>2181 (RRC) Relief &amp; Rehab Comm</t>
  </si>
  <si>
    <t>2201 (NEC) Nat Elections Comm</t>
  </si>
  <si>
    <t>2211 (RA) SS Roads Authority</t>
  </si>
  <si>
    <t>2221 (COS) Council of States</t>
  </si>
  <si>
    <t>2231 (PC) Peace Commission</t>
  </si>
  <si>
    <t>2241 (WWO) War Disabled, Wid</t>
  </si>
  <si>
    <t>2251 (HAC) HIV/Aids Commission</t>
  </si>
  <si>
    <t>2261 (NRA) Nat Revenue Authori</t>
  </si>
  <si>
    <t>2271 (IA) Investment Authority</t>
  </si>
  <si>
    <t>2281 (LC) Land Commission</t>
  </si>
  <si>
    <t>2291 (STD) Nat Bureau of Stan</t>
  </si>
  <si>
    <t>2301 (DFC) Drug &amp; Food Control</t>
  </si>
  <si>
    <t>2311 (NCR) Nat Constit. Review</t>
  </si>
  <si>
    <t>2321 (CRA) Comm for Refugee A</t>
  </si>
  <si>
    <t>2331 (PGC) Petroleum and Gas C</t>
  </si>
  <si>
    <t>2341 (CAA) Civil Aviation Auth</t>
  </si>
  <si>
    <t>2351 (NCA) Nat Comms Autho</t>
  </si>
  <si>
    <t>2361 (PSC) Parliament Service</t>
  </si>
  <si>
    <t>2371 (NCIA) North Corr Implem</t>
  </si>
  <si>
    <t>2381S.Sudan Broadcasting Corp.</t>
  </si>
  <si>
    <t>2391(MA) Media Authority</t>
  </si>
  <si>
    <t>2401(AIC)Access to Info Comm</t>
  </si>
  <si>
    <t>2411(EAC) East African Commun</t>
  </si>
  <si>
    <t>Grand Total</t>
  </si>
  <si>
    <t xml:space="preserve">The overall Government spending to-date </t>
  </si>
  <si>
    <t>Budget</t>
  </si>
  <si>
    <t>% of the Spending</t>
  </si>
  <si>
    <t>YTD/ Surplus/Deficit</t>
  </si>
  <si>
    <t>FY:2017/2018 Suplementary</t>
  </si>
  <si>
    <t>Percentages of allocations</t>
  </si>
  <si>
    <t xml:space="preserve">Central Government 3 months </t>
  </si>
  <si>
    <t>Juba- Torit ( EXIM BANK)</t>
  </si>
  <si>
    <t>Juba Airport ( EXIM BANK)</t>
  </si>
  <si>
    <t xml:space="preserve">TRAFIGURA </t>
  </si>
  <si>
    <t>USD</t>
  </si>
  <si>
    <t>LOANS</t>
  </si>
  <si>
    <t>SSP</t>
  </si>
  <si>
    <t>ARREARS</t>
  </si>
  <si>
    <t>States Transfers 6 months</t>
  </si>
  <si>
    <t>Organised Forces 3 months</t>
  </si>
  <si>
    <t>Foreign Missions 11 months</t>
  </si>
  <si>
    <t xml:space="preserve">ITEMS </t>
  </si>
  <si>
    <t>Salaries</t>
  </si>
  <si>
    <t>Transfers</t>
  </si>
  <si>
    <t xml:space="preserve">Others </t>
  </si>
  <si>
    <t>Subscription fee</t>
  </si>
  <si>
    <t>EURO</t>
  </si>
  <si>
    <t>CHF</t>
  </si>
  <si>
    <t>Currency</t>
  </si>
  <si>
    <t>Exchange rate</t>
  </si>
  <si>
    <t>South Sudan National Examination Council</t>
  </si>
  <si>
    <t xml:space="preserve">Salary arrears for both Central Gov't &amp; States </t>
  </si>
  <si>
    <t>FY:2018/2019 Indicative Ceiling</t>
  </si>
  <si>
    <t>Approved Budget 2017/2018</t>
  </si>
  <si>
    <t>Difference 2017/18 &amp; 2018/2019</t>
  </si>
  <si>
    <t>Ministry of Trade, Industry and East Africa Community Affairs</t>
  </si>
  <si>
    <t xml:space="preserve">Contingencies </t>
  </si>
  <si>
    <t xml:space="preserve">   FY 2018/2019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</si>
</sst>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?_);_(@_)"/>
    <numFmt numFmtId="168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81">
    <xf numFmtId="0" fontId="0" fillId="0" borderId="0" xfId="0"/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6" applyNumberFormat="1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6" fillId="0" borderId="1" xfId="0" applyFont="1" applyBorder="1"/>
    <xf numFmtId="0" fontId="2" fillId="0" borderId="2" xfId="0" applyFont="1" applyBorder="1" applyAlignment="1">
      <alignment horizontal="center" vertical="center"/>
    </xf>
    <xf numFmtId="0" fontId="5" fillId="2" borderId="1" xfId="0" applyFont="1" applyFill="1" applyBorder="1"/>
    <xf numFmtId="0" fontId="6" fillId="2" borderId="1" xfId="0" applyFont="1" applyFill="1" applyBorder="1"/>
    <xf numFmtId="166" fontId="0" fillId="0" borderId="1" xfId="1" applyNumberFormat="1" applyFont="1" applyBorder="1"/>
    <xf numFmtId="166" fontId="0" fillId="0" borderId="0" xfId="1" applyNumberFormat="1" applyFont="1"/>
    <xf numFmtId="166" fontId="0" fillId="0" borderId="0" xfId="0" applyNumberFormat="1"/>
    <xf numFmtId="166" fontId="5" fillId="2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4" fontId="0" fillId="0" borderId="1" xfId="0" applyNumberFormat="1" applyBorder="1"/>
    <xf numFmtId="4" fontId="2" fillId="0" borderId="1" xfId="0" applyNumberFormat="1" applyFont="1" applyBorder="1"/>
    <xf numFmtId="9" fontId="0" fillId="0" borderId="1" xfId="7" applyFont="1" applyBorder="1"/>
    <xf numFmtId="0" fontId="8" fillId="0" borderId="1" xfId="0" applyFont="1" applyBorder="1"/>
    <xf numFmtId="4" fontId="8" fillId="0" borderId="1" xfId="0" applyNumberFormat="1" applyFont="1" applyBorder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9" fontId="2" fillId="0" borderId="1" xfId="7" applyFont="1" applyBorder="1"/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2" borderId="11" xfId="0" applyFont="1" applyFill="1" applyBorder="1"/>
    <xf numFmtId="9" fontId="0" fillId="0" borderId="0" xfId="7" applyFont="1" applyFill="1"/>
    <xf numFmtId="0" fontId="2" fillId="0" borderId="1" xfId="0" applyFont="1" applyBorder="1" applyAlignment="1">
      <alignment horizontal="center" vertical="center"/>
    </xf>
    <xf numFmtId="166" fontId="2" fillId="0" borderId="1" xfId="1" applyNumberFormat="1" applyFont="1" applyBorder="1"/>
    <xf numFmtId="166" fontId="2" fillId="0" borderId="1" xfId="0" applyNumberFormat="1" applyFont="1" applyBorder="1"/>
    <xf numFmtId="166" fontId="0" fillId="8" borderId="1" xfId="0" applyNumberFormat="1" applyFill="1" applyBorder="1"/>
    <xf numFmtId="0" fontId="13" fillId="0" borderId="0" xfId="8" applyFill="1"/>
    <xf numFmtId="166" fontId="0" fillId="7" borderId="1" xfId="0" applyNumberFormat="1" applyFill="1" applyBorder="1"/>
    <xf numFmtId="0" fontId="0" fillId="0" borderId="1" xfId="0" applyBorder="1" applyAlignment="1">
      <alignment horizontal="center"/>
    </xf>
    <xf numFmtId="166" fontId="0" fillId="0" borderId="18" xfId="1" applyNumberFormat="1" applyFont="1" applyFill="1" applyBorder="1"/>
    <xf numFmtId="166" fontId="0" fillId="0" borderId="19" xfId="0" applyNumberFormat="1" applyFill="1" applyBorder="1"/>
    <xf numFmtId="166" fontId="0" fillId="0" borderId="20" xfId="1" applyNumberFormat="1" applyFont="1" applyFill="1" applyBorder="1"/>
    <xf numFmtId="166" fontId="0" fillId="0" borderId="21" xfId="0" applyNumberFormat="1" applyFill="1" applyBorder="1"/>
    <xf numFmtId="166" fontId="0" fillId="0" borderId="22" xfId="0" applyNumberFormat="1" applyFill="1" applyBorder="1"/>
    <xf numFmtId="166" fontId="0" fillId="0" borderId="23" xfId="0" applyNumberFormat="1" applyFill="1" applyBorder="1"/>
    <xf numFmtId="0" fontId="2" fillId="3" borderId="18" xfId="0" applyFont="1" applyFill="1" applyBorder="1" applyAlignment="1">
      <alignment horizontal="center"/>
    </xf>
    <xf numFmtId="166" fontId="2" fillId="3" borderId="24" xfId="1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0" fillId="3" borderId="19" xfId="0" applyFill="1" applyBorder="1"/>
    <xf numFmtId="0" fontId="2" fillId="3" borderId="2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43" fontId="2" fillId="3" borderId="0" xfId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43" fontId="2" fillId="3" borderId="21" xfId="0" applyNumberFormat="1" applyFont="1" applyFill="1" applyBorder="1"/>
    <xf numFmtId="0" fontId="0" fillId="3" borderId="22" xfId="0" applyFill="1" applyBorder="1"/>
    <xf numFmtId="0" fontId="0" fillId="3" borderId="25" xfId="0" applyFill="1" applyBorder="1"/>
    <xf numFmtId="43" fontId="2" fillId="3" borderId="23" xfId="0" applyNumberFormat="1" applyFont="1" applyFill="1" applyBorder="1"/>
    <xf numFmtId="0" fontId="0" fillId="3" borderId="25" xfId="0" applyFill="1" applyBorder="1" applyAlignment="1">
      <alignment horizontal="center" vertical="center"/>
    </xf>
    <xf numFmtId="166" fontId="0" fillId="10" borderId="0" xfId="1" applyNumberFormat="1" applyFont="1" applyFill="1"/>
    <xf numFmtId="0" fontId="5" fillId="2" borderId="9" xfId="0" applyFont="1" applyFill="1" applyBorder="1"/>
    <xf numFmtId="166" fontId="5" fillId="2" borderId="2" xfId="1" applyNumberFormat="1" applyFont="1" applyFill="1" applyBorder="1"/>
    <xf numFmtId="166" fontId="5" fillId="0" borderId="12" xfId="1" applyNumberFormat="1" applyFont="1" applyFill="1" applyBorder="1"/>
    <xf numFmtId="166" fontId="5" fillId="0" borderId="16" xfId="1" applyNumberFormat="1" applyFont="1" applyFill="1" applyBorder="1"/>
    <xf numFmtId="166" fontId="14" fillId="0" borderId="0" xfId="1" applyNumberFormat="1" applyFont="1"/>
    <xf numFmtId="166" fontId="5" fillId="2" borderId="12" xfId="1" applyNumberFormat="1" applyFont="1" applyFill="1" applyBorder="1"/>
    <xf numFmtId="0" fontId="5" fillId="4" borderId="13" xfId="0" applyFont="1" applyFill="1" applyBorder="1"/>
    <xf numFmtId="166" fontId="5" fillId="4" borderId="12" xfId="1" applyNumberFormat="1" applyFont="1" applyFill="1" applyBorder="1"/>
    <xf numFmtId="166" fontId="2" fillId="4" borderId="1" xfId="1" applyNumberFormat="1" applyFont="1" applyFill="1" applyBorder="1"/>
    <xf numFmtId="0" fontId="16" fillId="0" borderId="0" xfId="0" applyFont="1"/>
    <xf numFmtId="166" fontId="16" fillId="0" borderId="0" xfId="0" applyNumberFormat="1" applyFont="1" applyFill="1" applyBorder="1"/>
    <xf numFmtId="9" fontId="16" fillId="0" borderId="0" xfId="7" applyFont="1" applyFill="1"/>
    <xf numFmtId="166" fontId="16" fillId="0" borderId="0" xfId="7" applyNumberFormat="1" applyFont="1" applyFill="1"/>
    <xf numFmtId="166" fontId="16" fillId="0" borderId="0" xfId="0" applyNumberFormat="1" applyFont="1"/>
    <xf numFmtId="0" fontId="6" fillId="0" borderId="0" xfId="0" applyFont="1"/>
    <xf numFmtId="9" fontId="5" fillId="0" borderId="26" xfId="7" applyFont="1" applyFill="1" applyBorder="1" applyAlignment="1">
      <alignment horizontal="center" vertical="center" wrapText="1"/>
    </xf>
    <xf numFmtId="10" fontId="5" fillId="5" borderId="27" xfId="7" applyNumberFormat="1" applyFont="1" applyFill="1" applyBorder="1"/>
    <xf numFmtId="10" fontId="5" fillId="0" borderId="27" xfId="7" applyNumberFormat="1" applyFont="1" applyFill="1" applyBorder="1"/>
    <xf numFmtId="10" fontId="5" fillId="5" borderId="13" xfId="7" applyNumberFormat="1" applyFont="1" applyFill="1" applyBorder="1"/>
    <xf numFmtId="10" fontId="5" fillId="4" borderId="27" xfId="7" applyNumberFormat="1" applyFont="1" applyFill="1" applyBorder="1"/>
    <xf numFmtId="9" fontId="5" fillId="0" borderId="27" xfId="7" applyFont="1" applyFill="1" applyBorder="1"/>
    <xf numFmtId="166" fontId="5" fillId="0" borderId="1" xfId="7" applyNumberFormat="1" applyFont="1" applyFill="1" applyBorder="1" applyAlignment="1">
      <alignment horizontal="center" vertical="center" wrapText="1"/>
    </xf>
    <xf numFmtId="10" fontId="5" fillId="2" borderId="27" xfId="7" applyNumberFormat="1" applyFont="1" applyFill="1" applyBorder="1"/>
    <xf numFmtId="0" fontId="5" fillId="2" borderId="13" xfId="0" applyFont="1" applyFill="1" applyBorder="1" applyAlignment="1"/>
    <xf numFmtId="166" fontId="5" fillId="2" borderId="1" xfId="0" applyNumberFormat="1" applyFont="1" applyFill="1" applyBorder="1" applyAlignment="1"/>
    <xf numFmtId="9" fontId="5" fillId="2" borderId="27" xfId="7" applyFont="1" applyFill="1" applyBorder="1"/>
    <xf numFmtId="0" fontId="0" fillId="0" borderId="0" xfId="0" applyFill="1"/>
    <xf numFmtId="166" fontId="0" fillId="0" borderId="0" xfId="1" applyNumberFormat="1" applyFont="1" applyFill="1"/>
    <xf numFmtId="43" fontId="0" fillId="0" borderId="0" xfId="0" applyNumberFormat="1" applyFill="1"/>
    <xf numFmtId="10" fontId="0" fillId="0" borderId="0" xfId="0" applyNumberFormat="1" applyFill="1"/>
    <xf numFmtId="167" fontId="0" fillId="0" borderId="0" xfId="1" applyNumberFormat="1" applyFont="1" applyFill="1"/>
    <xf numFmtId="9" fontId="0" fillId="0" borderId="0" xfId="0" applyNumberFormat="1" applyFill="1"/>
    <xf numFmtId="166" fontId="5" fillId="2" borderId="11" xfId="1" applyNumberFormat="1" applyFont="1" applyFill="1" applyBorder="1"/>
    <xf numFmtId="0" fontId="15" fillId="2" borderId="30" xfId="0" applyFont="1" applyFill="1" applyBorder="1" applyAlignment="1"/>
    <xf numFmtId="166" fontId="15" fillId="2" borderId="31" xfId="0" applyNumberFormat="1" applyFont="1" applyFill="1" applyBorder="1"/>
    <xf numFmtId="166" fontId="5" fillId="2" borderId="32" xfId="1" applyNumberFormat="1" applyFont="1" applyFill="1" applyBorder="1"/>
    <xf numFmtId="9" fontId="5" fillId="2" borderId="33" xfId="7" applyFont="1" applyFill="1" applyBorder="1"/>
    <xf numFmtId="166" fontId="0" fillId="11" borderId="0" xfId="1" applyNumberFormat="1" applyFont="1" applyFill="1"/>
    <xf numFmtId="9" fontId="5" fillId="12" borderId="12" xfId="7" applyFont="1" applyFill="1" applyBorder="1" applyAlignment="1">
      <alignment horizontal="center" vertical="center" wrapText="1"/>
    </xf>
    <xf numFmtId="166" fontId="15" fillId="12" borderId="12" xfId="0" applyNumberFormat="1" applyFont="1" applyFill="1" applyBorder="1"/>
    <xf numFmtId="37" fontId="15" fillId="12" borderId="12" xfId="0" applyNumberFormat="1" applyFont="1" applyFill="1" applyBorder="1"/>
    <xf numFmtId="37" fontId="15" fillId="12" borderId="32" xfId="0" applyNumberFormat="1" applyFont="1" applyFill="1" applyBorder="1"/>
    <xf numFmtId="9" fontId="0" fillId="12" borderId="0" xfId="7" applyFont="1" applyFill="1"/>
    <xf numFmtId="9" fontId="17" fillId="13" borderId="17" xfId="7" applyFont="1" applyFill="1" applyBorder="1" applyAlignment="1">
      <alignment horizontal="center" vertical="center"/>
    </xf>
    <xf numFmtId="9" fontId="17" fillId="13" borderId="28" xfId="7" applyFont="1" applyFill="1" applyBorder="1" applyAlignment="1">
      <alignment horizontal="center" vertical="center"/>
    </xf>
    <xf numFmtId="9" fontId="17" fillId="13" borderId="29" xfId="7" applyFont="1" applyFill="1" applyBorder="1" applyAlignment="1">
      <alignment horizontal="center" vertical="center"/>
    </xf>
    <xf numFmtId="43" fontId="0" fillId="0" borderId="0" xfId="0" applyNumberFormat="1"/>
    <xf numFmtId="166" fontId="16" fillId="3" borderId="0" xfId="0" applyNumberFormat="1" applyFont="1" applyFill="1"/>
    <xf numFmtId="166" fontId="0" fillId="3" borderId="0" xfId="1" applyNumberFormat="1" applyFont="1" applyFill="1"/>
    <xf numFmtId="166" fontId="5" fillId="0" borderId="7" xfId="7" applyNumberFormat="1" applyFont="1" applyFill="1" applyBorder="1" applyAlignment="1">
      <alignment horizontal="center" vertical="center" wrapText="1"/>
    </xf>
    <xf numFmtId="166" fontId="15" fillId="2" borderId="7" xfId="0" applyNumberFormat="1" applyFont="1" applyFill="1" applyBorder="1"/>
    <xf numFmtId="165" fontId="15" fillId="2" borderId="7" xfId="0" applyNumberFormat="1" applyFont="1" applyFill="1" applyBorder="1"/>
    <xf numFmtId="166" fontId="15" fillId="2" borderId="7" xfId="1" applyNumberFormat="1" applyFont="1" applyFill="1" applyBorder="1"/>
    <xf numFmtId="165" fontId="15" fillId="4" borderId="7" xfId="0" applyNumberFormat="1" applyFont="1" applyFill="1" applyBorder="1"/>
    <xf numFmtId="0" fontId="15" fillId="2" borderId="7" xfId="0" applyFont="1" applyFill="1" applyBorder="1"/>
    <xf numFmtId="37" fontId="15" fillId="4" borderId="7" xfId="0" applyNumberFormat="1" applyFont="1" applyFill="1" applyBorder="1"/>
    <xf numFmtId="37" fontId="15" fillId="2" borderId="7" xfId="0" applyNumberFormat="1" applyFont="1" applyFill="1" applyBorder="1"/>
    <xf numFmtId="37" fontId="15" fillId="2" borderId="35" xfId="0" applyNumberFormat="1" applyFont="1" applyFill="1" applyBorder="1"/>
    <xf numFmtId="166" fontId="5" fillId="5" borderId="21" xfId="7" applyNumberFormat="1" applyFont="1" applyFill="1" applyBorder="1"/>
    <xf numFmtId="165" fontId="5" fillId="5" borderId="21" xfId="7" applyNumberFormat="1" applyFont="1" applyFill="1" applyBorder="1"/>
    <xf numFmtId="10" fontId="5" fillId="0" borderId="21" xfId="7" applyNumberFormat="1" applyFont="1" applyFill="1" applyBorder="1"/>
    <xf numFmtId="165" fontId="5" fillId="5" borderId="7" xfId="7" applyNumberFormat="1" applyFont="1" applyFill="1" applyBorder="1"/>
    <xf numFmtId="166" fontId="5" fillId="0" borderId="21" xfId="1" applyNumberFormat="1" applyFont="1" applyFill="1" applyBorder="1"/>
    <xf numFmtId="168" fontId="5" fillId="4" borderId="21" xfId="7" applyNumberFormat="1" applyFont="1" applyFill="1" applyBorder="1"/>
    <xf numFmtId="166" fontId="5" fillId="2" borderId="21" xfId="1" applyNumberFormat="1" applyFont="1" applyFill="1" applyBorder="1"/>
    <xf numFmtId="166" fontId="5" fillId="2" borderId="36" xfId="1" applyNumberFormat="1" applyFont="1" applyFill="1" applyBorder="1"/>
    <xf numFmtId="9" fontId="0" fillId="0" borderId="21" xfId="7" applyFont="1" applyFill="1" applyBorder="1"/>
    <xf numFmtId="9" fontId="16" fillId="0" borderId="21" xfId="7" applyFont="1" applyFill="1" applyBorder="1"/>
    <xf numFmtId="0" fontId="5" fillId="0" borderId="0" xfId="0" applyFont="1"/>
    <xf numFmtId="166" fontId="2" fillId="0" borderId="0" xfId="1" applyNumberFormat="1" applyFont="1"/>
    <xf numFmtId="0" fontId="5" fillId="0" borderId="11" xfId="0" applyFont="1" applyBorder="1"/>
    <xf numFmtId="166" fontId="2" fillId="0" borderId="1" xfId="1" applyNumberFormat="1" applyFont="1" applyFill="1" applyBorder="1"/>
    <xf numFmtId="166" fontId="15" fillId="0" borderId="1" xfId="0" applyNumberFormat="1" applyFont="1" applyBorder="1"/>
    <xf numFmtId="166" fontId="15" fillId="0" borderId="7" xfId="0" applyNumberFormat="1" applyFont="1" applyBorder="1"/>
    <xf numFmtId="3" fontId="2" fillId="0" borderId="0" xfId="0" applyNumberFormat="1" applyFont="1"/>
    <xf numFmtId="166" fontId="8" fillId="0" borderId="1" xfId="1" applyNumberFormat="1" applyFont="1" applyFill="1" applyBorder="1"/>
    <xf numFmtId="165" fontId="2" fillId="0" borderId="1" xfId="6" applyNumberFormat="1" applyFont="1" applyBorder="1"/>
    <xf numFmtId="165" fontId="15" fillId="0" borderId="1" xfId="0" applyNumberFormat="1" applyFont="1" applyBorder="1"/>
    <xf numFmtId="165" fontId="15" fillId="0" borderId="7" xfId="0" applyNumberFormat="1" applyFont="1" applyBorder="1"/>
    <xf numFmtId="4" fontId="2" fillId="0" borderId="0" xfId="0" applyNumberFormat="1" applyFont="1"/>
    <xf numFmtId="166" fontId="2" fillId="0" borderId="0" xfId="0" applyNumberFormat="1" applyFont="1"/>
    <xf numFmtId="165" fontId="15" fillId="0" borderId="7" xfId="0" applyNumberFormat="1" applyFont="1" applyFill="1" applyBorder="1"/>
    <xf numFmtId="166" fontId="2" fillId="0" borderId="0" xfId="1" applyNumberFormat="1" applyFont="1" applyFill="1" applyBorder="1"/>
    <xf numFmtId="165" fontId="15" fillId="0" borderId="1" xfId="0" applyNumberFormat="1" applyFont="1" applyFill="1" applyBorder="1"/>
    <xf numFmtId="166" fontId="5" fillId="0" borderId="1" xfId="1" applyNumberFormat="1" applyFont="1" applyFill="1" applyBorder="1"/>
    <xf numFmtId="165" fontId="2" fillId="0" borderId="1" xfId="6" applyNumberFormat="1" applyFont="1" applyFill="1" applyBorder="1"/>
    <xf numFmtId="0" fontId="5" fillId="0" borderId="14" xfId="0" applyFont="1" applyBorder="1"/>
    <xf numFmtId="166" fontId="2" fillId="0" borderId="15" xfId="1" applyNumberFormat="1" applyFont="1" applyFill="1" applyBorder="1"/>
    <xf numFmtId="166" fontId="5" fillId="0" borderId="15" xfId="1" applyNumberFormat="1" applyFont="1" applyFill="1" applyBorder="1"/>
    <xf numFmtId="166" fontId="2" fillId="0" borderId="15" xfId="1" applyNumberFormat="1" applyFont="1" applyBorder="1"/>
    <xf numFmtId="166" fontId="8" fillId="0" borderId="1" xfId="1" applyNumberFormat="1" applyFont="1" applyBorder="1"/>
    <xf numFmtId="0" fontId="2" fillId="0" borderId="0" xfId="0" applyFont="1" applyBorder="1"/>
    <xf numFmtId="43" fontId="15" fillId="0" borderId="7" xfId="0" applyNumberFormat="1" applyFont="1" applyFill="1" applyBorder="1"/>
    <xf numFmtId="165" fontId="15" fillId="0" borderId="7" xfId="6" applyNumberFormat="1" applyFont="1" applyFill="1" applyBorder="1"/>
    <xf numFmtId="0" fontId="5" fillId="2" borderId="13" xfId="0" applyFont="1" applyFill="1" applyBorder="1"/>
    <xf numFmtId="166" fontId="2" fillId="2" borderId="1" xfId="1" applyNumberFormat="1" applyFont="1" applyFill="1" applyBorder="1"/>
    <xf numFmtId="165" fontId="15" fillId="10" borderId="1" xfId="6" applyNumberFormat="1" applyFont="1" applyFill="1" applyBorder="1"/>
    <xf numFmtId="165" fontId="15" fillId="2" borderId="7" xfId="6" applyNumberFormat="1" applyFont="1" applyFill="1" applyBorder="1"/>
    <xf numFmtId="9" fontId="2" fillId="0" borderId="0" xfId="7" applyFont="1"/>
    <xf numFmtId="0" fontId="5" fillId="0" borderId="13" xfId="0" applyFont="1" applyBorder="1"/>
    <xf numFmtId="166" fontId="18" fillId="0" borderId="1" xfId="1" applyNumberFormat="1" applyFont="1" applyBorder="1"/>
    <xf numFmtId="165" fontId="15" fillId="0" borderId="1" xfId="6" applyNumberFormat="1" applyFont="1" applyFill="1" applyBorder="1"/>
    <xf numFmtId="37" fontId="15" fillId="0" borderId="7" xfId="0" applyNumberFormat="1" applyFont="1" applyBorder="1"/>
    <xf numFmtId="0" fontId="2" fillId="0" borderId="0" xfId="0" applyFont="1" applyFill="1"/>
    <xf numFmtId="9" fontId="2" fillId="0" borderId="0" xfId="7" applyFont="1" applyFill="1"/>
    <xf numFmtId="37" fontId="15" fillId="2" borderId="1" xfId="0" applyNumberFormat="1" applyFont="1" applyFill="1" applyBorder="1"/>
    <xf numFmtId="3" fontId="2" fillId="0" borderId="0" xfId="0" applyNumberFormat="1" applyFont="1" applyFill="1"/>
    <xf numFmtId="0" fontId="5" fillId="0" borderId="11" xfId="0" applyFont="1" applyFill="1" applyBorder="1" applyAlignment="1"/>
    <xf numFmtId="166" fontId="2" fillId="0" borderId="0" xfId="1" applyNumberFormat="1" applyFont="1" applyFill="1"/>
    <xf numFmtId="168" fontId="2" fillId="0" borderId="0" xfId="7" applyNumberFormat="1" applyFont="1"/>
    <xf numFmtId="9" fontId="2" fillId="0" borderId="21" xfId="7" applyFont="1" applyFill="1" applyBorder="1"/>
    <xf numFmtId="165" fontId="2" fillId="0" borderId="23" xfId="0" applyNumberFormat="1" applyFont="1" applyFill="1" applyBorder="1"/>
    <xf numFmtId="165" fontId="2" fillId="12" borderId="0" xfId="0" applyNumberFormat="1" applyFont="1" applyFill="1" applyBorder="1"/>
    <xf numFmtId="9" fontId="17" fillId="12" borderId="34" xfId="7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7" fillId="12" borderId="8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</cellXfs>
  <cellStyles count="9">
    <cellStyle name="Comma" xfId="1" builtinId="3"/>
    <cellStyle name="Comma 2" xfId="6"/>
    <cellStyle name="Comma 3" xfId="2"/>
    <cellStyle name="Good" xfId="8" builtinId="26"/>
    <cellStyle name="Normal" xfId="0" builtinId="0"/>
    <cellStyle name="Normal 2" xfId="3"/>
    <cellStyle name="Normal 7 2" xfId="5"/>
    <cellStyle name="Normal 9" xfId="4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70" workbookViewId="0">
      <selection activeCell="G85" sqref="G85"/>
    </sheetView>
  </sheetViews>
  <sheetFormatPr defaultRowHeight="14.4" x14ac:dyDescent="0.3"/>
  <cols>
    <col min="1" max="1" width="57.33203125" bestFit="1" customWidth="1"/>
    <col min="2" max="2" width="13.33203125" bestFit="1" customWidth="1"/>
    <col min="3" max="3" width="15.33203125" bestFit="1" customWidth="1"/>
    <col min="4" max="4" width="14.33203125" bestFit="1" customWidth="1"/>
    <col min="5" max="5" width="14" bestFit="1" customWidth="1"/>
    <col min="6" max="6" width="13.109375" bestFit="1" customWidth="1"/>
    <col min="7" max="7" width="15.33203125" bestFit="1" customWidth="1"/>
    <col min="10" max="10" width="13.6640625" bestFit="1" customWidth="1"/>
    <col min="11" max="11" width="14.6640625" bestFit="1" customWidth="1"/>
    <col min="12" max="13" width="13.6640625" bestFit="1" customWidth="1"/>
    <col min="15" max="15" width="10" bestFit="1" customWidth="1"/>
  </cols>
  <sheetData>
    <row r="1" spans="1:7" s="5" customFormat="1" ht="15" thickBot="1" x14ac:dyDescent="0.35"/>
    <row r="2" spans="1:7" ht="21.6" thickBot="1" x14ac:dyDescent="0.35">
      <c r="A2" s="171" t="s">
        <v>197</v>
      </c>
      <c r="B2" s="171"/>
      <c r="C2" s="171"/>
      <c r="D2" s="171"/>
      <c r="E2" s="171"/>
      <c r="F2" s="171"/>
      <c r="G2" s="172"/>
    </row>
    <row r="3" spans="1:7" ht="27.6" x14ac:dyDescent="0.3">
      <c r="A3" s="8" t="s">
        <v>92</v>
      </c>
      <c r="B3" s="2" t="s">
        <v>86</v>
      </c>
      <c r="C3" s="1" t="s">
        <v>87</v>
      </c>
      <c r="D3" s="4" t="s">
        <v>88</v>
      </c>
      <c r="E3" s="2" t="s">
        <v>89</v>
      </c>
      <c r="F3" s="2" t="s">
        <v>90</v>
      </c>
      <c r="G3" s="3" t="s">
        <v>91</v>
      </c>
    </row>
    <row r="4" spans="1:7" x14ac:dyDescent="0.3">
      <c r="A4" s="9" t="s">
        <v>0</v>
      </c>
      <c r="B4" s="14">
        <f>SUM(B5:B11)</f>
        <v>0</v>
      </c>
      <c r="C4" s="14">
        <f t="shared" ref="C4:F4" si="0">SUM(C5:C11)</f>
        <v>8157035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4">
        <f>SUM(B4:F4)</f>
        <v>8157035</v>
      </c>
    </row>
    <row r="5" spans="1:7" x14ac:dyDescent="0.3">
      <c r="A5" s="7" t="s">
        <v>4</v>
      </c>
      <c r="B5" s="6"/>
      <c r="C5" s="11">
        <v>8157035</v>
      </c>
      <c r="D5" s="6"/>
      <c r="E5" s="6"/>
      <c r="F5" s="6"/>
      <c r="G5" s="14">
        <f t="shared" ref="G5:G11" si="1">SUM(B5:F5)</f>
        <v>8157035</v>
      </c>
    </row>
    <row r="6" spans="1:7" x14ac:dyDescent="0.3">
      <c r="A6" s="7" t="s">
        <v>2</v>
      </c>
      <c r="B6" s="6"/>
      <c r="C6" s="6"/>
      <c r="D6" s="6"/>
      <c r="E6" s="6"/>
      <c r="F6" s="6"/>
      <c r="G6" s="14">
        <f t="shared" si="1"/>
        <v>0</v>
      </c>
    </row>
    <row r="7" spans="1:7" x14ac:dyDescent="0.3">
      <c r="A7" s="7" t="s">
        <v>1</v>
      </c>
      <c r="B7" s="6"/>
      <c r="C7" s="6"/>
      <c r="D7" s="6"/>
      <c r="E7" s="6"/>
      <c r="F7" s="6"/>
      <c r="G7" s="14">
        <f t="shared" si="1"/>
        <v>0</v>
      </c>
    </row>
    <row r="8" spans="1:7" x14ac:dyDescent="0.3">
      <c r="A8" s="7" t="s">
        <v>3</v>
      </c>
      <c r="B8" s="6"/>
      <c r="C8" s="6"/>
      <c r="D8" s="6"/>
      <c r="E8" s="6"/>
      <c r="F8" s="6"/>
      <c r="G8" s="14">
        <f t="shared" si="1"/>
        <v>0</v>
      </c>
    </row>
    <row r="9" spans="1:7" x14ac:dyDescent="0.3">
      <c r="A9" s="7" t="s">
        <v>7</v>
      </c>
      <c r="B9" s="6"/>
      <c r="C9" s="6"/>
      <c r="D9" s="6"/>
      <c r="E9" s="6"/>
      <c r="F9" s="6"/>
      <c r="G9" s="14">
        <f t="shared" si="1"/>
        <v>0</v>
      </c>
    </row>
    <row r="10" spans="1:7" x14ac:dyDescent="0.3">
      <c r="A10" s="7" t="s">
        <v>6</v>
      </c>
      <c r="B10" s="6"/>
      <c r="C10" s="6"/>
      <c r="D10" s="6"/>
      <c r="E10" s="6"/>
      <c r="F10" s="6"/>
      <c r="G10" s="14">
        <f t="shared" si="1"/>
        <v>0</v>
      </c>
    </row>
    <row r="11" spans="1:7" x14ac:dyDescent="0.3">
      <c r="A11" s="7" t="s">
        <v>5</v>
      </c>
      <c r="B11" s="6"/>
      <c r="C11" s="6"/>
      <c r="D11" s="6"/>
      <c r="E11" s="6"/>
      <c r="F11" s="6"/>
      <c r="G11" s="14">
        <f t="shared" si="1"/>
        <v>0</v>
      </c>
    </row>
    <row r="12" spans="1:7" x14ac:dyDescent="0.3">
      <c r="A12" s="9" t="s">
        <v>8</v>
      </c>
      <c r="B12" s="9">
        <f>SUM(B13:B28)</f>
        <v>0</v>
      </c>
      <c r="C12" s="9">
        <f t="shared" ref="C12:F12" si="2">SUM(C13:C28)</f>
        <v>0</v>
      </c>
      <c r="D12" s="9">
        <f t="shared" si="2"/>
        <v>0</v>
      </c>
      <c r="E12" s="9">
        <f t="shared" si="2"/>
        <v>0</v>
      </c>
      <c r="F12" s="9">
        <f t="shared" si="2"/>
        <v>0</v>
      </c>
      <c r="G12" s="9">
        <f>SUM(B12:F12)</f>
        <v>0</v>
      </c>
    </row>
    <row r="13" spans="1:7" x14ac:dyDescent="0.3">
      <c r="A13" s="7" t="s">
        <v>9</v>
      </c>
      <c r="B13" s="6"/>
      <c r="C13" s="6"/>
      <c r="D13" s="6"/>
      <c r="E13" s="6"/>
      <c r="F13" s="6"/>
      <c r="G13" s="9">
        <f t="shared" ref="G13:G28" si="3">SUM(B13:F13)</f>
        <v>0</v>
      </c>
    </row>
    <row r="14" spans="1:7" x14ac:dyDescent="0.3">
      <c r="A14" s="7" t="s">
        <v>24</v>
      </c>
      <c r="B14" s="6"/>
      <c r="C14" s="6"/>
      <c r="D14" s="6"/>
      <c r="E14" s="6"/>
      <c r="F14" s="6"/>
      <c r="G14" s="9">
        <f t="shared" si="3"/>
        <v>0</v>
      </c>
    </row>
    <row r="15" spans="1:7" x14ac:dyDescent="0.3">
      <c r="A15" s="7" t="s">
        <v>21</v>
      </c>
      <c r="B15" s="6"/>
      <c r="C15" s="6"/>
      <c r="D15" s="6"/>
      <c r="E15" s="6"/>
      <c r="F15" s="6"/>
      <c r="G15" s="9">
        <f t="shared" si="3"/>
        <v>0</v>
      </c>
    </row>
    <row r="16" spans="1:7" x14ac:dyDescent="0.3">
      <c r="A16" s="7" t="s">
        <v>14</v>
      </c>
      <c r="B16" s="6"/>
      <c r="C16" s="6"/>
      <c r="D16" s="6"/>
      <c r="E16" s="6"/>
      <c r="F16" s="6"/>
      <c r="G16" s="9">
        <f t="shared" si="3"/>
        <v>0</v>
      </c>
    </row>
    <row r="17" spans="1:7" x14ac:dyDescent="0.3">
      <c r="A17" s="7" t="s">
        <v>15</v>
      </c>
      <c r="B17" s="6"/>
      <c r="C17" s="6"/>
      <c r="D17" s="6"/>
      <c r="E17" s="6"/>
      <c r="F17" s="6"/>
      <c r="G17" s="9">
        <f t="shared" si="3"/>
        <v>0</v>
      </c>
    </row>
    <row r="18" spans="1:7" x14ac:dyDescent="0.3">
      <c r="A18" s="7" t="s">
        <v>23</v>
      </c>
      <c r="B18" s="6"/>
      <c r="C18" s="6"/>
      <c r="D18" s="6"/>
      <c r="E18" s="6"/>
      <c r="F18" s="6"/>
      <c r="G18" s="9">
        <f t="shared" si="3"/>
        <v>0</v>
      </c>
    </row>
    <row r="19" spans="1:7" x14ac:dyDescent="0.3">
      <c r="A19" s="7" t="s">
        <v>11</v>
      </c>
      <c r="B19" s="6"/>
      <c r="C19" s="6"/>
      <c r="D19" s="6"/>
      <c r="E19" s="6"/>
      <c r="F19" s="6"/>
      <c r="G19" s="9">
        <f t="shared" si="3"/>
        <v>0</v>
      </c>
    </row>
    <row r="20" spans="1:7" x14ac:dyDescent="0.3">
      <c r="A20" s="7" t="s">
        <v>10</v>
      </c>
      <c r="B20" s="6"/>
      <c r="C20" s="6"/>
      <c r="D20" s="6"/>
      <c r="E20" s="6"/>
      <c r="F20" s="6"/>
      <c r="G20" s="9">
        <f t="shared" si="3"/>
        <v>0</v>
      </c>
    </row>
    <row r="21" spans="1:7" x14ac:dyDescent="0.3">
      <c r="A21" s="7" t="s">
        <v>20</v>
      </c>
      <c r="B21" s="6"/>
      <c r="C21" s="6"/>
      <c r="D21" s="6"/>
      <c r="E21" s="6"/>
      <c r="F21" s="6"/>
      <c r="G21" s="9">
        <f t="shared" si="3"/>
        <v>0</v>
      </c>
    </row>
    <row r="22" spans="1:7" x14ac:dyDescent="0.3">
      <c r="A22" s="7" t="s">
        <v>12</v>
      </c>
      <c r="B22" s="6"/>
      <c r="C22" s="6"/>
      <c r="D22" s="6"/>
      <c r="E22" s="6"/>
      <c r="F22" s="6"/>
      <c r="G22" s="9">
        <f t="shared" si="3"/>
        <v>0</v>
      </c>
    </row>
    <row r="23" spans="1:7" x14ac:dyDescent="0.3">
      <c r="A23" s="7" t="s">
        <v>19</v>
      </c>
      <c r="B23" s="6"/>
      <c r="C23" s="6"/>
      <c r="D23" s="6"/>
      <c r="E23" s="6"/>
      <c r="F23" s="6"/>
      <c r="G23" s="9">
        <f t="shared" si="3"/>
        <v>0</v>
      </c>
    </row>
    <row r="24" spans="1:7" x14ac:dyDescent="0.3">
      <c r="A24" s="7" t="s">
        <v>16</v>
      </c>
      <c r="B24" s="6"/>
      <c r="C24" s="6"/>
      <c r="D24" s="6"/>
      <c r="E24" s="6"/>
      <c r="F24" s="6"/>
      <c r="G24" s="9">
        <f t="shared" si="3"/>
        <v>0</v>
      </c>
    </row>
    <row r="25" spans="1:7" x14ac:dyDescent="0.3">
      <c r="A25" s="7" t="s">
        <v>18</v>
      </c>
      <c r="B25" s="6"/>
      <c r="C25" s="6"/>
      <c r="D25" s="6"/>
      <c r="E25" s="6"/>
      <c r="F25" s="6"/>
      <c r="G25" s="9">
        <f t="shared" si="3"/>
        <v>0</v>
      </c>
    </row>
    <row r="26" spans="1:7" x14ac:dyDescent="0.3">
      <c r="A26" s="7" t="s">
        <v>17</v>
      </c>
      <c r="B26" s="6"/>
      <c r="C26" s="6"/>
      <c r="D26" s="6"/>
      <c r="E26" s="6"/>
      <c r="F26" s="6"/>
      <c r="G26" s="9">
        <f t="shared" si="3"/>
        <v>0</v>
      </c>
    </row>
    <row r="27" spans="1:7" x14ac:dyDescent="0.3">
      <c r="A27" s="7" t="s">
        <v>22</v>
      </c>
      <c r="B27" s="6"/>
      <c r="C27" s="6"/>
      <c r="D27" s="6"/>
      <c r="E27" s="6"/>
      <c r="F27" s="6"/>
      <c r="G27" s="9">
        <f t="shared" si="3"/>
        <v>0</v>
      </c>
    </row>
    <row r="28" spans="1:7" x14ac:dyDescent="0.3">
      <c r="A28" s="7" t="s">
        <v>13</v>
      </c>
      <c r="B28" s="6"/>
      <c r="C28" s="6"/>
      <c r="D28" s="6"/>
      <c r="E28" s="6"/>
      <c r="F28" s="6"/>
      <c r="G28" s="9">
        <f t="shared" si="3"/>
        <v>0</v>
      </c>
    </row>
    <row r="29" spans="1:7" x14ac:dyDescent="0.3">
      <c r="A29" s="9" t="s">
        <v>25</v>
      </c>
      <c r="B29" s="9">
        <f>SUM(B30:B31)</f>
        <v>0</v>
      </c>
      <c r="C29" s="9">
        <f>SUM(C30:C31)</f>
        <v>0</v>
      </c>
      <c r="D29" s="9">
        <f>SUM(D30:D31)</f>
        <v>0</v>
      </c>
      <c r="E29" s="9">
        <f>SUM(E30:E31)</f>
        <v>0</v>
      </c>
      <c r="F29" s="9">
        <f>SUM(F30:F31)</f>
        <v>0</v>
      </c>
      <c r="G29" s="9">
        <f>SUM(B29:F29)</f>
        <v>0</v>
      </c>
    </row>
    <row r="30" spans="1:7" x14ac:dyDescent="0.3">
      <c r="A30" s="7" t="s">
        <v>26</v>
      </c>
      <c r="B30" s="6"/>
      <c r="C30" s="6"/>
      <c r="D30" s="6"/>
      <c r="E30" s="6"/>
      <c r="F30" s="6"/>
      <c r="G30" s="9">
        <f t="shared" ref="G30:G31" si="4">SUM(B30:F30)</f>
        <v>0</v>
      </c>
    </row>
    <row r="31" spans="1:7" x14ac:dyDescent="0.3">
      <c r="A31" s="7" t="s">
        <v>27</v>
      </c>
      <c r="B31" s="6"/>
      <c r="C31" s="6"/>
      <c r="D31" s="6"/>
      <c r="E31" s="6"/>
      <c r="F31" s="6"/>
      <c r="G31" s="9">
        <f t="shared" si="4"/>
        <v>0</v>
      </c>
    </row>
    <row r="32" spans="1:7" x14ac:dyDescent="0.3">
      <c r="A32" s="9" t="s">
        <v>28</v>
      </c>
      <c r="B32" s="14">
        <f>SUM(B33:B35)</f>
        <v>0</v>
      </c>
      <c r="C32" s="14">
        <f t="shared" ref="C32:F32" si="5">SUM(C33:C35)</f>
        <v>151128000</v>
      </c>
      <c r="D32" s="14">
        <f t="shared" si="5"/>
        <v>55468520</v>
      </c>
      <c r="E32" s="14">
        <f t="shared" si="5"/>
        <v>0</v>
      </c>
      <c r="F32" s="14">
        <f t="shared" si="5"/>
        <v>0</v>
      </c>
      <c r="G32" s="14">
        <f>SUM(B32:F32)</f>
        <v>206596520</v>
      </c>
    </row>
    <row r="33" spans="1:13" x14ac:dyDescent="0.3">
      <c r="A33" s="7" t="s">
        <v>29</v>
      </c>
      <c r="B33" s="5"/>
      <c r="C33" s="11">
        <v>151128000</v>
      </c>
      <c r="D33" s="11">
        <v>55468520</v>
      </c>
      <c r="E33" s="6"/>
      <c r="F33" s="6"/>
      <c r="G33" s="14">
        <f t="shared" ref="G33:G35" si="6">SUM(B33:F33)</f>
        <v>206596520</v>
      </c>
    </row>
    <row r="34" spans="1:13" x14ac:dyDescent="0.3">
      <c r="A34" s="7" t="s">
        <v>31</v>
      </c>
      <c r="B34" s="6"/>
      <c r="C34" s="6"/>
      <c r="D34" s="6"/>
      <c r="E34" s="6"/>
      <c r="F34" s="6"/>
      <c r="G34" s="14">
        <f t="shared" si="6"/>
        <v>0</v>
      </c>
      <c r="L34" s="12">
        <v>2500000</v>
      </c>
      <c r="M34" s="12">
        <v>5000000</v>
      </c>
    </row>
    <row r="35" spans="1:13" x14ac:dyDescent="0.3">
      <c r="A35" s="7" t="s">
        <v>30</v>
      </c>
      <c r="B35" s="6"/>
      <c r="C35" s="6"/>
      <c r="D35" s="6"/>
      <c r="E35" s="6"/>
      <c r="F35" s="6"/>
      <c r="G35" s="14">
        <f t="shared" si="6"/>
        <v>0</v>
      </c>
      <c r="K35" s="12">
        <v>81433661</v>
      </c>
      <c r="L35" s="12">
        <v>35000000</v>
      </c>
      <c r="M35" s="12">
        <v>15000000</v>
      </c>
    </row>
    <row r="36" spans="1:13" x14ac:dyDescent="0.3">
      <c r="A36" s="9" t="s">
        <v>32</v>
      </c>
      <c r="B36" s="9">
        <f>SUM(B37:B41)</f>
        <v>0</v>
      </c>
      <c r="C36" s="9">
        <f t="shared" ref="C36:F36" si="7">SUM(C37:C41)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>SUM(B36:F36)</f>
        <v>0</v>
      </c>
      <c r="K36" s="12">
        <v>14800000</v>
      </c>
      <c r="L36" s="12">
        <v>7000000</v>
      </c>
      <c r="M36" s="12">
        <v>5000000</v>
      </c>
    </row>
    <row r="37" spans="1:13" x14ac:dyDescent="0.3">
      <c r="A37" s="7" t="s">
        <v>33</v>
      </c>
      <c r="B37" s="6"/>
      <c r="C37" s="6"/>
      <c r="D37" s="6"/>
      <c r="E37" s="6"/>
      <c r="F37" s="6"/>
      <c r="G37" s="9">
        <f t="shared" ref="G37:G41" si="8">SUM(B37:F37)</f>
        <v>0</v>
      </c>
      <c r="K37" s="12"/>
      <c r="L37" s="12">
        <v>68000000</v>
      </c>
      <c r="M37" s="12">
        <v>5000000</v>
      </c>
    </row>
    <row r="38" spans="1:13" x14ac:dyDescent="0.3">
      <c r="A38" s="7" t="s">
        <v>37</v>
      </c>
      <c r="B38" s="6"/>
      <c r="C38" s="6"/>
      <c r="D38" s="6"/>
      <c r="E38" s="6"/>
      <c r="F38" s="6"/>
      <c r="G38" s="9">
        <f t="shared" si="8"/>
        <v>0</v>
      </c>
      <c r="K38" s="12">
        <v>5800000</v>
      </c>
      <c r="L38" s="12">
        <v>10000000</v>
      </c>
      <c r="M38" s="12">
        <v>15000000</v>
      </c>
    </row>
    <row r="39" spans="1:13" x14ac:dyDescent="0.3">
      <c r="A39" s="7" t="s">
        <v>34</v>
      </c>
      <c r="B39" s="6"/>
      <c r="C39" s="6"/>
      <c r="D39" s="6"/>
      <c r="E39" s="6"/>
      <c r="F39" s="6"/>
      <c r="G39" s="9">
        <f t="shared" si="8"/>
        <v>0</v>
      </c>
      <c r="K39" s="12">
        <f>SUM(K35:K38)</f>
        <v>102033661</v>
      </c>
      <c r="L39" s="13">
        <f>SUM(L34:L38)</f>
        <v>122500000</v>
      </c>
      <c r="M39" s="13">
        <f>SUM(M34:M38)</f>
        <v>45000000</v>
      </c>
    </row>
    <row r="40" spans="1:13" x14ac:dyDescent="0.3">
      <c r="A40" s="7" t="s">
        <v>36</v>
      </c>
      <c r="B40" s="6"/>
      <c r="C40" s="6"/>
      <c r="D40" s="6"/>
      <c r="E40" s="6"/>
      <c r="F40" s="6"/>
      <c r="G40" s="9">
        <f t="shared" si="8"/>
        <v>0</v>
      </c>
    </row>
    <row r="41" spans="1:13" x14ac:dyDescent="0.3">
      <c r="A41" s="7" t="s">
        <v>35</v>
      </c>
      <c r="B41" s="6"/>
      <c r="C41" s="6"/>
      <c r="D41" s="6"/>
      <c r="E41" s="6"/>
      <c r="F41" s="6"/>
      <c r="G41" s="9">
        <f t="shared" si="8"/>
        <v>0</v>
      </c>
    </row>
    <row r="42" spans="1:13" x14ac:dyDescent="0.3">
      <c r="A42" s="9" t="s">
        <v>38</v>
      </c>
      <c r="B42" s="14">
        <f>SUM(B43:B48)</f>
        <v>9264800</v>
      </c>
      <c r="C42" s="14">
        <f t="shared" ref="C42:F42" si="9">SUM(C43:C48)</f>
        <v>122500000</v>
      </c>
      <c r="D42" s="14">
        <f t="shared" si="9"/>
        <v>45000000</v>
      </c>
      <c r="E42" s="14">
        <f t="shared" si="9"/>
        <v>102033661</v>
      </c>
      <c r="F42" s="14">
        <f t="shared" si="9"/>
        <v>0</v>
      </c>
      <c r="G42" s="14">
        <f>SUM(B42:F42)</f>
        <v>278798461</v>
      </c>
    </row>
    <row r="43" spans="1:13" x14ac:dyDescent="0.3">
      <c r="A43" s="7" t="s">
        <v>39</v>
      </c>
      <c r="B43" s="11">
        <v>9264800</v>
      </c>
      <c r="C43" s="11">
        <v>122500000</v>
      </c>
      <c r="D43" s="11">
        <v>45000000</v>
      </c>
      <c r="E43" s="11">
        <v>102033661</v>
      </c>
      <c r="F43" s="11"/>
      <c r="G43" s="14">
        <f t="shared" ref="G43:G48" si="10">SUM(B43:F43)</f>
        <v>278798461</v>
      </c>
    </row>
    <row r="44" spans="1:13" x14ac:dyDescent="0.3">
      <c r="A44" s="7" t="s">
        <v>42</v>
      </c>
      <c r="B44" s="11"/>
      <c r="C44" s="11"/>
      <c r="D44" s="11"/>
      <c r="E44" s="11"/>
      <c r="F44" s="11"/>
      <c r="G44" s="14">
        <f t="shared" si="10"/>
        <v>0</v>
      </c>
    </row>
    <row r="45" spans="1:13" x14ac:dyDescent="0.3">
      <c r="A45" s="7" t="s">
        <v>43</v>
      </c>
      <c r="B45" s="11"/>
      <c r="C45" s="11"/>
      <c r="D45" s="11"/>
      <c r="E45" s="11"/>
      <c r="F45" s="11"/>
      <c r="G45" s="14">
        <f t="shared" si="10"/>
        <v>0</v>
      </c>
    </row>
    <row r="46" spans="1:13" x14ac:dyDescent="0.3">
      <c r="A46" s="7" t="s">
        <v>44</v>
      </c>
      <c r="B46" s="11"/>
      <c r="C46" s="11"/>
      <c r="D46" s="11"/>
      <c r="E46" s="11"/>
      <c r="F46" s="11"/>
      <c r="G46" s="14">
        <f t="shared" si="10"/>
        <v>0</v>
      </c>
    </row>
    <row r="47" spans="1:13" x14ac:dyDescent="0.3">
      <c r="A47" s="7" t="s">
        <v>40</v>
      </c>
      <c r="B47" s="11"/>
      <c r="C47" s="11"/>
      <c r="D47" s="11"/>
      <c r="E47" s="11"/>
      <c r="F47" s="11"/>
      <c r="G47" s="14">
        <f t="shared" si="10"/>
        <v>0</v>
      </c>
    </row>
    <row r="48" spans="1:13" x14ac:dyDescent="0.3">
      <c r="A48" s="7" t="s">
        <v>41</v>
      </c>
      <c r="B48" s="11"/>
      <c r="C48" s="11"/>
      <c r="D48" s="11"/>
      <c r="E48" s="11"/>
      <c r="F48" s="11"/>
      <c r="G48" s="14">
        <f t="shared" si="10"/>
        <v>0</v>
      </c>
    </row>
    <row r="49" spans="1:7" x14ac:dyDescent="0.3">
      <c r="A49" s="9" t="s">
        <v>45</v>
      </c>
      <c r="B49" s="9">
        <f>SUM(B50:B65)</f>
        <v>0</v>
      </c>
      <c r="C49" s="9">
        <f t="shared" ref="C49:F49" si="11">SUM(C50:C65)</f>
        <v>0</v>
      </c>
      <c r="D49" s="9">
        <f t="shared" si="11"/>
        <v>0</v>
      </c>
      <c r="E49" s="9">
        <f t="shared" si="11"/>
        <v>0</v>
      </c>
      <c r="F49" s="9">
        <f t="shared" si="11"/>
        <v>0</v>
      </c>
      <c r="G49" s="9">
        <f>SUM(B49:F49)</f>
        <v>0</v>
      </c>
    </row>
    <row r="50" spans="1:7" x14ac:dyDescent="0.3">
      <c r="A50" s="7" t="s">
        <v>46</v>
      </c>
      <c r="B50" s="6"/>
      <c r="C50" s="6"/>
      <c r="D50" s="6"/>
      <c r="E50" s="6"/>
      <c r="F50" s="6"/>
      <c r="G50" s="9">
        <f t="shared" ref="G50:G65" si="12">SUM(B50:F50)</f>
        <v>0</v>
      </c>
    </row>
    <row r="51" spans="1:7" x14ac:dyDescent="0.3">
      <c r="A51" s="7" t="s">
        <v>56</v>
      </c>
      <c r="B51" s="6"/>
      <c r="C51" s="6"/>
      <c r="D51" s="6"/>
      <c r="E51" s="6"/>
      <c r="F51" s="6"/>
      <c r="G51" s="9">
        <f t="shared" si="12"/>
        <v>0</v>
      </c>
    </row>
    <row r="52" spans="1:7" x14ac:dyDescent="0.3">
      <c r="A52" s="7" t="s">
        <v>59</v>
      </c>
      <c r="B52" s="6"/>
      <c r="C52" s="6"/>
      <c r="D52" s="6"/>
      <c r="E52" s="6"/>
      <c r="F52" s="6"/>
      <c r="G52" s="9">
        <f t="shared" si="12"/>
        <v>0</v>
      </c>
    </row>
    <row r="53" spans="1:7" x14ac:dyDescent="0.3">
      <c r="A53" s="7" t="s">
        <v>47</v>
      </c>
      <c r="B53" s="6"/>
      <c r="C53" s="6"/>
      <c r="D53" s="6"/>
      <c r="E53" s="6"/>
      <c r="F53" s="6"/>
      <c r="G53" s="9">
        <f t="shared" si="12"/>
        <v>0</v>
      </c>
    </row>
    <row r="54" spans="1:7" x14ac:dyDescent="0.3">
      <c r="A54" s="7" t="s">
        <v>48</v>
      </c>
      <c r="B54" s="6"/>
      <c r="C54" s="6"/>
      <c r="D54" s="6"/>
      <c r="E54" s="6"/>
      <c r="F54" s="6"/>
      <c r="G54" s="9">
        <f t="shared" si="12"/>
        <v>0</v>
      </c>
    </row>
    <row r="55" spans="1:7" x14ac:dyDescent="0.3">
      <c r="A55" s="7" t="s">
        <v>49</v>
      </c>
      <c r="B55" s="6"/>
      <c r="C55" s="6"/>
      <c r="D55" s="6"/>
      <c r="E55" s="6"/>
      <c r="F55" s="6"/>
      <c r="G55" s="9">
        <f t="shared" si="12"/>
        <v>0</v>
      </c>
    </row>
    <row r="56" spans="1:7" x14ac:dyDescent="0.3">
      <c r="A56" s="7" t="s">
        <v>57</v>
      </c>
      <c r="B56" s="6"/>
      <c r="C56" s="6"/>
      <c r="D56" s="6"/>
      <c r="E56" s="6"/>
      <c r="F56" s="6"/>
      <c r="G56" s="9">
        <f t="shared" si="12"/>
        <v>0</v>
      </c>
    </row>
    <row r="57" spans="1:7" x14ac:dyDescent="0.3">
      <c r="A57" s="7" t="s">
        <v>55</v>
      </c>
      <c r="B57" s="6"/>
      <c r="C57" s="6"/>
      <c r="D57" s="6"/>
      <c r="E57" s="6"/>
      <c r="F57" s="6"/>
      <c r="G57" s="9">
        <f t="shared" si="12"/>
        <v>0</v>
      </c>
    </row>
    <row r="58" spans="1:7" x14ac:dyDescent="0.3">
      <c r="A58" s="7" t="s">
        <v>50</v>
      </c>
      <c r="B58" s="6"/>
      <c r="C58" s="6"/>
      <c r="D58" s="6"/>
      <c r="E58" s="6"/>
      <c r="F58" s="6"/>
      <c r="G58" s="9">
        <f t="shared" si="12"/>
        <v>0</v>
      </c>
    </row>
    <row r="59" spans="1:7" x14ac:dyDescent="0.3">
      <c r="A59" s="7" t="s">
        <v>60</v>
      </c>
      <c r="B59" s="6"/>
      <c r="C59" s="6"/>
      <c r="D59" s="6"/>
      <c r="E59" s="6"/>
      <c r="F59" s="6"/>
      <c r="G59" s="9">
        <f t="shared" si="12"/>
        <v>0</v>
      </c>
    </row>
    <row r="60" spans="1:7" x14ac:dyDescent="0.3">
      <c r="A60" s="7" t="s">
        <v>61</v>
      </c>
      <c r="B60" s="6"/>
      <c r="C60" s="6"/>
      <c r="D60" s="6"/>
      <c r="E60" s="6"/>
      <c r="F60" s="6"/>
      <c r="G60" s="9">
        <f t="shared" si="12"/>
        <v>0</v>
      </c>
    </row>
    <row r="61" spans="1:7" x14ac:dyDescent="0.3">
      <c r="A61" s="7" t="s">
        <v>58</v>
      </c>
      <c r="B61" s="6"/>
      <c r="C61" s="6"/>
      <c r="D61" s="6"/>
      <c r="E61" s="6"/>
      <c r="F61" s="6"/>
      <c r="G61" s="9">
        <f t="shared" si="12"/>
        <v>0</v>
      </c>
    </row>
    <row r="62" spans="1:7" x14ac:dyDescent="0.3">
      <c r="A62" s="7" t="s">
        <v>51</v>
      </c>
      <c r="B62" s="6"/>
      <c r="C62" s="6"/>
      <c r="D62" s="6"/>
      <c r="E62" s="6"/>
      <c r="F62" s="6"/>
      <c r="G62" s="9">
        <f t="shared" si="12"/>
        <v>0</v>
      </c>
    </row>
    <row r="63" spans="1:7" x14ac:dyDescent="0.3">
      <c r="A63" s="7" t="s">
        <v>53</v>
      </c>
      <c r="B63" s="6"/>
      <c r="C63" s="6"/>
      <c r="D63" s="6"/>
      <c r="E63" s="6"/>
      <c r="F63" s="6"/>
      <c r="G63" s="9">
        <f t="shared" si="12"/>
        <v>0</v>
      </c>
    </row>
    <row r="64" spans="1:7" x14ac:dyDescent="0.3">
      <c r="A64" s="7" t="s">
        <v>52</v>
      </c>
      <c r="B64" s="6"/>
      <c r="C64" s="6"/>
      <c r="D64" s="6"/>
      <c r="E64" s="6"/>
      <c r="F64" s="6"/>
      <c r="G64" s="9">
        <f t="shared" si="12"/>
        <v>0</v>
      </c>
    </row>
    <row r="65" spans="1:7" x14ac:dyDescent="0.3">
      <c r="A65" s="7" t="s">
        <v>54</v>
      </c>
      <c r="B65" s="6"/>
      <c r="C65" s="6"/>
      <c r="D65" s="6"/>
      <c r="E65" s="6"/>
      <c r="F65" s="6"/>
      <c r="G65" s="9">
        <f t="shared" si="12"/>
        <v>0</v>
      </c>
    </row>
    <row r="66" spans="1:7" x14ac:dyDescent="0.3">
      <c r="A66" s="10" t="s">
        <v>62</v>
      </c>
      <c r="B66" s="9">
        <f>SUM(B67:B76)</f>
        <v>0</v>
      </c>
      <c r="C66" s="9">
        <f t="shared" ref="C66:F66" si="13">SUM(C67:C76)</f>
        <v>0</v>
      </c>
      <c r="D66" s="9">
        <f t="shared" si="13"/>
        <v>0</v>
      </c>
      <c r="E66" s="9">
        <f t="shared" si="13"/>
        <v>0</v>
      </c>
      <c r="F66" s="9">
        <f t="shared" si="13"/>
        <v>0</v>
      </c>
      <c r="G66" s="9">
        <f>SUM(B66:F66)</f>
        <v>0</v>
      </c>
    </row>
    <row r="67" spans="1:7" x14ac:dyDescent="0.3">
      <c r="A67" s="7" t="s">
        <v>63</v>
      </c>
      <c r="B67" s="6"/>
      <c r="C67" s="6"/>
      <c r="D67" s="6"/>
      <c r="E67" s="6"/>
      <c r="F67" s="6"/>
      <c r="G67" s="9">
        <f t="shared" ref="G67:G76" si="14">SUM(B67:F67)</f>
        <v>0</v>
      </c>
    </row>
    <row r="68" spans="1:7" x14ac:dyDescent="0.3">
      <c r="A68" s="7" t="s">
        <v>70</v>
      </c>
      <c r="B68" s="6"/>
      <c r="C68" s="6"/>
      <c r="D68" s="6"/>
      <c r="E68" s="6"/>
      <c r="F68" s="6"/>
      <c r="G68" s="9">
        <f t="shared" si="14"/>
        <v>0</v>
      </c>
    </row>
    <row r="69" spans="1:7" x14ac:dyDescent="0.3">
      <c r="A69" s="7" t="s">
        <v>72</v>
      </c>
      <c r="B69" s="6"/>
      <c r="C69" s="6"/>
      <c r="D69" s="6"/>
      <c r="E69" s="6"/>
      <c r="F69" s="6"/>
      <c r="G69" s="9">
        <f t="shared" si="14"/>
        <v>0</v>
      </c>
    </row>
    <row r="70" spans="1:7" x14ac:dyDescent="0.3">
      <c r="A70" s="7" t="s">
        <v>67</v>
      </c>
      <c r="B70" s="6"/>
      <c r="C70" s="6"/>
      <c r="D70" s="6"/>
      <c r="E70" s="6"/>
      <c r="F70" s="6"/>
      <c r="G70" s="9">
        <f t="shared" si="14"/>
        <v>0</v>
      </c>
    </row>
    <row r="71" spans="1:7" x14ac:dyDescent="0.3">
      <c r="A71" s="7" t="s">
        <v>68</v>
      </c>
      <c r="B71" s="6"/>
      <c r="C71" s="6"/>
      <c r="D71" s="6"/>
      <c r="E71" s="6"/>
      <c r="F71" s="6"/>
      <c r="G71" s="9">
        <f t="shared" si="14"/>
        <v>0</v>
      </c>
    </row>
    <row r="72" spans="1:7" x14ac:dyDescent="0.3">
      <c r="A72" s="7" t="s">
        <v>64</v>
      </c>
      <c r="B72" s="6"/>
      <c r="C72" s="6"/>
      <c r="D72" s="6"/>
      <c r="E72" s="6"/>
      <c r="F72" s="6"/>
      <c r="G72" s="9">
        <f t="shared" si="14"/>
        <v>0</v>
      </c>
    </row>
    <row r="73" spans="1:7" x14ac:dyDescent="0.3">
      <c r="A73" s="7" t="s">
        <v>65</v>
      </c>
      <c r="B73" s="6"/>
      <c r="C73" s="6"/>
      <c r="D73" s="6"/>
      <c r="E73" s="6"/>
      <c r="F73" s="6"/>
      <c r="G73" s="9">
        <f t="shared" si="14"/>
        <v>0</v>
      </c>
    </row>
    <row r="74" spans="1:7" x14ac:dyDescent="0.3">
      <c r="A74" s="7" t="s">
        <v>66</v>
      </c>
      <c r="B74" s="6"/>
      <c r="C74" s="6"/>
      <c r="D74" s="6"/>
      <c r="E74" s="6"/>
      <c r="F74" s="6"/>
      <c r="G74" s="9">
        <f t="shared" si="14"/>
        <v>0</v>
      </c>
    </row>
    <row r="75" spans="1:7" x14ac:dyDescent="0.3">
      <c r="A75" s="7" t="s">
        <v>71</v>
      </c>
      <c r="B75" s="6"/>
      <c r="C75" s="6"/>
      <c r="D75" s="6"/>
      <c r="E75" s="6"/>
      <c r="F75" s="6"/>
      <c r="G75" s="9">
        <f t="shared" si="14"/>
        <v>0</v>
      </c>
    </row>
    <row r="76" spans="1:7" x14ac:dyDescent="0.3">
      <c r="A76" s="7" t="s">
        <v>69</v>
      </c>
      <c r="B76" s="6"/>
      <c r="C76" s="6"/>
      <c r="D76" s="6"/>
      <c r="E76" s="6"/>
      <c r="F76" s="6"/>
      <c r="G76" s="9">
        <f t="shared" si="14"/>
        <v>0</v>
      </c>
    </row>
    <row r="77" spans="1:7" x14ac:dyDescent="0.3">
      <c r="A77" s="10" t="s">
        <v>73</v>
      </c>
      <c r="B77" s="9">
        <f>SUM(B78:B82)</f>
        <v>0</v>
      </c>
      <c r="C77" s="9">
        <f t="shared" ref="C77:F77" si="15">SUM(C78:C82)</f>
        <v>0</v>
      </c>
      <c r="D77" s="9">
        <f t="shared" si="15"/>
        <v>0</v>
      </c>
      <c r="E77" s="9">
        <f t="shared" si="15"/>
        <v>0</v>
      </c>
      <c r="F77" s="9">
        <f t="shared" si="15"/>
        <v>0</v>
      </c>
      <c r="G77" s="9">
        <f>SUM(B77:F77)</f>
        <v>0</v>
      </c>
    </row>
    <row r="78" spans="1:7" x14ac:dyDescent="0.3">
      <c r="A78" s="7" t="s">
        <v>74</v>
      </c>
      <c r="B78" s="6"/>
      <c r="C78" s="6"/>
      <c r="D78" s="6"/>
      <c r="E78" s="6"/>
      <c r="F78" s="6"/>
      <c r="G78" s="9">
        <f t="shared" ref="G78:G82" si="16">SUM(B78:F78)</f>
        <v>0</v>
      </c>
    </row>
    <row r="79" spans="1:7" x14ac:dyDescent="0.3">
      <c r="A79" s="7" t="s">
        <v>77</v>
      </c>
      <c r="B79" s="6"/>
      <c r="C79" s="6"/>
      <c r="D79" s="6"/>
      <c r="E79" s="6"/>
      <c r="F79" s="6"/>
      <c r="G79" s="9">
        <f t="shared" si="16"/>
        <v>0</v>
      </c>
    </row>
    <row r="80" spans="1:7" x14ac:dyDescent="0.3">
      <c r="A80" s="7" t="s">
        <v>76</v>
      </c>
      <c r="B80" s="6"/>
      <c r="C80" s="6"/>
      <c r="D80" s="6"/>
      <c r="E80" s="6"/>
      <c r="F80" s="6"/>
      <c r="G80" s="9">
        <f t="shared" si="16"/>
        <v>0</v>
      </c>
    </row>
    <row r="81" spans="1:10" x14ac:dyDescent="0.3">
      <c r="A81" s="7" t="s">
        <v>78</v>
      </c>
      <c r="B81" s="6"/>
      <c r="C81" s="6"/>
      <c r="D81" s="6"/>
      <c r="E81" s="6"/>
      <c r="F81" s="6"/>
      <c r="G81" s="9">
        <f t="shared" si="16"/>
        <v>0</v>
      </c>
    </row>
    <row r="82" spans="1:10" x14ac:dyDescent="0.3">
      <c r="A82" s="7" t="s">
        <v>75</v>
      </c>
      <c r="B82" s="6"/>
      <c r="C82" s="6"/>
      <c r="D82" s="6"/>
      <c r="E82" s="6"/>
      <c r="F82" s="6"/>
      <c r="G82" s="9">
        <f t="shared" si="16"/>
        <v>0</v>
      </c>
    </row>
    <row r="83" spans="1:10" x14ac:dyDescent="0.3">
      <c r="A83" s="10" t="s">
        <v>79</v>
      </c>
      <c r="B83" s="14">
        <f>SUM(B84:B89)</f>
        <v>0</v>
      </c>
      <c r="C83" s="14">
        <f t="shared" ref="C83:F83" si="17">SUM(C84:C89)</f>
        <v>32621311</v>
      </c>
      <c r="D83" s="14">
        <f t="shared" si="17"/>
        <v>0</v>
      </c>
      <c r="E83" s="14">
        <f t="shared" si="17"/>
        <v>0</v>
      </c>
      <c r="F83" s="14">
        <f t="shared" si="17"/>
        <v>2403200</v>
      </c>
      <c r="G83" s="14">
        <f>SUM(C83:F83)</f>
        <v>35024511</v>
      </c>
      <c r="J83" s="12">
        <v>35024511</v>
      </c>
    </row>
    <row r="84" spans="1:10" x14ac:dyDescent="0.3">
      <c r="A84" s="7" t="s">
        <v>80</v>
      </c>
      <c r="B84" s="11"/>
      <c r="C84" s="11"/>
      <c r="D84" s="11"/>
      <c r="E84" s="11"/>
      <c r="F84" s="11"/>
      <c r="G84" s="14">
        <f t="shared" ref="G84:G89" si="18">SUM(C84:F84)</f>
        <v>0</v>
      </c>
      <c r="J84" s="12">
        <v>2403200</v>
      </c>
    </row>
    <row r="85" spans="1:10" x14ac:dyDescent="0.3">
      <c r="A85" s="7" t="s">
        <v>81</v>
      </c>
      <c r="B85" s="11"/>
      <c r="C85" s="11">
        <v>32621311</v>
      </c>
      <c r="D85" s="11"/>
      <c r="E85" s="11"/>
      <c r="F85" s="11">
        <v>2403200</v>
      </c>
      <c r="G85" s="14">
        <f t="shared" si="18"/>
        <v>35024511</v>
      </c>
      <c r="J85" s="13">
        <f>J83-J84</f>
        <v>32621311</v>
      </c>
    </row>
    <row r="86" spans="1:10" x14ac:dyDescent="0.3">
      <c r="A86" s="7" t="s">
        <v>82</v>
      </c>
      <c r="B86" s="11"/>
      <c r="C86" s="11"/>
      <c r="D86" s="11"/>
      <c r="E86" s="11"/>
      <c r="F86" s="11"/>
      <c r="G86" s="14">
        <f t="shared" si="18"/>
        <v>0</v>
      </c>
    </row>
    <row r="87" spans="1:10" x14ac:dyDescent="0.3">
      <c r="A87" s="7" t="s">
        <v>84</v>
      </c>
      <c r="B87" s="11"/>
      <c r="C87" s="11"/>
      <c r="D87" s="11"/>
      <c r="E87" s="11"/>
      <c r="F87" s="11"/>
      <c r="G87" s="14">
        <f t="shared" si="18"/>
        <v>0</v>
      </c>
    </row>
    <row r="88" spans="1:10" x14ac:dyDescent="0.3">
      <c r="A88" s="7" t="s">
        <v>83</v>
      </c>
      <c r="B88" s="11"/>
      <c r="C88" s="11"/>
      <c r="D88" s="11"/>
      <c r="E88" s="11"/>
      <c r="F88" s="11"/>
      <c r="G88" s="14">
        <f t="shared" si="18"/>
        <v>0</v>
      </c>
    </row>
    <row r="89" spans="1:10" x14ac:dyDescent="0.3">
      <c r="A89" s="7" t="s">
        <v>85</v>
      </c>
      <c r="B89" s="11"/>
      <c r="C89" s="11"/>
      <c r="D89" s="11"/>
      <c r="E89" s="11"/>
      <c r="F89" s="11"/>
      <c r="G89" s="14">
        <f t="shared" si="18"/>
        <v>0</v>
      </c>
    </row>
    <row r="90" spans="1:10" x14ac:dyDescent="0.3">
      <c r="A90" s="173" t="s">
        <v>93</v>
      </c>
      <c r="B90" s="174"/>
      <c r="C90" s="174"/>
      <c r="D90" s="174"/>
      <c r="E90" s="174"/>
      <c r="F90" s="175"/>
      <c r="G90" s="14">
        <f>SUM(G83+G77+G66+G49+G42+G36+G32+G29+G12+G4)</f>
        <v>528576527</v>
      </c>
    </row>
  </sheetData>
  <sortState ref="A30:A39">
    <sortCondition ref="A32"/>
  </sortState>
  <mergeCells count="2">
    <mergeCell ref="A2:G2"/>
    <mergeCell ref="A90:F9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2"/>
  <sheetViews>
    <sheetView tabSelected="1" view="pageBreakPreview" zoomScale="130" zoomScaleNormal="100" zoomScaleSheetLayoutView="130" workbookViewId="0">
      <pane xSplit="1" ySplit="2" topLeftCell="B7" activePane="bottomRight" state="frozen"/>
      <selection pane="topRight" activeCell="B1" sqref="B1"/>
      <selection pane="bottomLeft" activeCell="A3" sqref="A3"/>
      <selection pane="bottomRight" activeCell="I6" sqref="I6"/>
    </sheetView>
  </sheetViews>
  <sheetFormatPr defaultRowHeight="14.4" x14ac:dyDescent="0.3"/>
  <cols>
    <col min="1" max="1" width="55.6640625" customWidth="1"/>
    <col min="2" max="2" width="17.5546875" customWidth="1"/>
    <col min="3" max="3" width="18.109375" customWidth="1"/>
    <col min="4" max="4" width="15.6640625" customWidth="1"/>
    <col min="5" max="5" width="17" customWidth="1"/>
    <col min="6" max="6" width="16.6640625" customWidth="1"/>
    <col min="7" max="7" width="16.5546875" bestFit="1" customWidth="1"/>
    <col min="8" max="8" width="11.5546875" style="28" hidden="1" customWidth="1"/>
    <col min="9" max="9" width="17.77734375" style="123" bestFit="1" customWidth="1"/>
    <col min="10" max="10" width="19.88671875" style="28" hidden="1" customWidth="1"/>
    <col min="11" max="11" width="17.6640625" style="99" hidden="1" customWidth="1"/>
    <col min="12" max="12" width="16.109375" bestFit="1" customWidth="1"/>
    <col min="13" max="13" width="14.6640625" bestFit="1" customWidth="1"/>
    <col min="14" max="14" width="17.33203125" bestFit="1" customWidth="1"/>
    <col min="15" max="15" width="16.109375" bestFit="1" customWidth="1"/>
    <col min="17" max="17" width="16.109375" bestFit="1" customWidth="1"/>
  </cols>
  <sheetData>
    <row r="1" spans="1:14" ht="24" customHeight="1" thickBot="1" x14ac:dyDescent="0.35">
      <c r="A1" s="176" t="s">
        <v>221</v>
      </c>
      <c r="B1" s="177"/>
      <c r="C1" s="177"/>
      <c r="D1" s="177"/>
      <c r="E1" s="177"/>
      <c r="F1" s="177"/>
      <c r="G1" s="178"/>
      <c r="H1" s="100"/>
      <c r="I1" s="170"/>
      <c r="J1" s="101"/>
      <c r="K1" s="102"/>
      <c r="L1" s="125"/>
      <c r="M1" s="71"/>
      <c r="N1" s="71"/>
    </row>
    <row r="2" spans="1:14" ht="41.4" x14ac:dyDescent="0.3">
      <c r="A2" s="25" t="s">
        <v>92</v>
      </c>
      <c r="B2" s="2" t="s">
        <v>86</v>
      </c>
      <c r="C2" s="1" t="s">
        <v>87</v>
      </c>
      <c r="D2" s="4" t="s">
        <v>88</v>
      </c>
      <c r="E2" s="2" t="s">
        <v>89</v>
      </c>
      <c r="F2" s="2" t="s">
        <v>90</v>
      </c>
      <c r="G2" s="26" t="s">
        <v>226</v>
      </c>
      <c r="H2" s="72" t="s">
        <v>198</v>
      </c>
      <c r="I2" s="78" t="s">
        <v>222</v>
      </c>
      <c r="J2" s="106" t="s">
        <v>222</v>
      </c>
      <c r="K2" s="95" t="s">
        <v>223</v>
      </c>
      <c r="L2" s="15"/>
    </row>
    <row r="3" spans="1:14" ht="15.6" x14ac:dyDescent="0.3">
      <c r="A3" s="27" t="s">
        <v>0</v>
      </c>
      <c r="B3" s="14">
        <f>SUM(B4:B10)</f>
        <v>571288685</v>
      </c>
      <c r="C3" s="14">
        <f>SUM(C4:C10)</f>
        <v>1555758534.4799998</v>
      </c>
      <c r="D3" s="14">
        <f t="shared" ref="D3:F3" si="0">SUM(D4:D10)</f>
        <v>0</v>
      </c>
      <c r="E3" s="14">
        <f t="shared" si="0"/>
        <v>1113239724</v>
      </c>
      <c r="F3" s="14">
        <f t="shared" si="0"/>
        <v>0</v>
      </c>
      <c r="G3" s="14">
        <f>SUM(B3:F3)</f>
        <v>3240286943.4799995</v>
      </c>
      <c r="H3" s="73">
        <f t="shared" ref="H3:H30" si="1">G3/$G$100</f>
        <v>4.0276468597913423E-2</v>
      </c>
      <c r="I3" s="115">
        <f>SUM(I4:I10)</f>
        <v>2564617546.8193831</v>
      </c>
      <c r="J3" s="107">
        <f>SUM(J4:J10)</f>
        <v>2564617546.8193831</v>
      </c>
      <c r="K3" s="96">
        <f>SUM(K4:K10)</f>
        <v>675669396.66061711</v>
      </c>
      <c r="L3" s="126"/>
      <c r="N3" s="56">
        <f>SUM(N4:N10)</f>
        <v>80465460</v>
      </c>
    </row>
    <row r="4" spans="1:14" ht="15.6" x14ac:dyDescent="0.3">
      <c r="A4" s="127" t="s">
        <v>4</v>
      </c>
      <c r="B4" s="128">
        <f>11121184</f>
        <v>11121184</v>
      </c>
      <c r="C4" s="30">
        <f>7969143.21+2779763+5000000</f>
        <v>15748906.210000001</v>
      </c>
      <c r="D4" s="30"/>
      <c r="E4" s="30"/>
      <c r="F4" s="30"/>
      <c r="G4" s="59">
        <f t="shared" ref="G4:G10" si="2">SUM(B4:F4)</f>
        <v>26870090.210000001</v>
      </c>
      <c r="H4" s="74">
        <f t="shared" si="1"/>
        <v>3.3399274923592761E-4</v>
      </c>
      <c r="I4" s="129">
        <v>19090327.209999997</v>
      </c>
      <c r="J4" s="130">
        <v>2086944569</v>
      </c>
      <c r="K4" s="96">
        <f>G4-I4</f>
        <v>7779763.0000000037</v>
      </c>
      <c r="L4" s="131"/>
      <c r="N4" s="12">
        <f>509564*3</f>
        <v>1528692</v>
      </c>
    </row>
    <row r="5" spans="1:14" ht="15.6" x14ac:dyDescent="0.3">
      <c r="A5" s="127" t="s">
        <v>2</v>
      </c>
      <c r="B5" s="128">
        <f>60007759</f>
        <v>60007759</v>
      </c>
      <c r="C5" s="30">
        <f>206625872.7+72054879</f>
        <v>278680751.69999999</v>
      </c>
      <c r="D5" s="30"/>
      <c r="E5" s="30"/>
      <c r="F5" s="30"/>
      <c r="G5" s="59">
        <f t="shared" si="2"/>
        <v>338688510.69999999</v>
      </c>
      <c r="H5" s="74">
        <f t="shared" si="1"/>
        <v>4.2098670283293735E-3</v>
      </c>
      <c r="I5" s="129">
        <v>266633631.69999999</v>
      </c>
      <c r="J5" s="130">
        <v>266633631.69999999</v>
      </c>
      <c r="K5" s="96">
        <f t="shared" ref="K5:K67" si="3">G5-I5</f>
        <v>72054879</v>
      </c>
      <c r="L5" s="131"/>
      <c r="M5" s="103"/>
      <c r="N5" s="12">
        <f>794754*3</f>
        <v>2384262</v>
      </c>
    </row>
    <row r="6" spans="1:14" ht="15.6" x14ac:dyDescent="0.3">
      <c r="A6" s="127" t="s">
        <v>1</v>
      </c>
      <c r="B6" s="128">
        <f>478136607</f>
        <v>478136607</v>
      </c>
      <c r="C6" s="132">
        <f>495568239+171707334</f>
        <v>667275573</v>
      </c>
      <c r="D6" s="30"/>
      <c r="E6" s="30">
        <v>1113239724</v>
      </c>
      <c r="F6" s="133"/>
      <c r="G6" s="59">
        <f>SUM(B6:F6)</f>
        <v>2258651904</v>
      </c>
      <c r="H6" s="74">
        <f t="shared" si="1"/>
        <v>2.8074835368553177E-2</v>
      </c>
      <c r="I6" s="129">
        <v>2086944569</v>
      </c>
      <c r="J6" s="130">
        <v>26227334.050000001</v>
      </c>
      <c r="K6" s="96">
        <f t="shared" si="3"/>
        <v>171707335</v>
      </c>
      <c r="L6" s="131"/>
      <c r="N6" s="12">
        <f>11270333*3+13226398*3</f>
        <v>73490193</v>
      </c>
    </row>
    <row r="7" spans="1:14" ht="15.6" x14ac:dyDescent="0.3">
      <c r="A7" s="127" t="s">
        <v>3</v>
      </c>
      <c r="B7" s="128">
        <f>18398058</f>
        <v>18398058</v>
      </c>
      <c r="C7" s="30">
        <f>7829276+2675422+10000000</f>
        <v>20504698</v>
      </c>
      <c r="D7" s="30"/>
      <c r="E7" s="30"/>
      <c r="F7" s="30"/>
      <c r="G7" s="59">
        <f t="shared" si="2"/>
        <v>38902756</v>
      </c>
      <c r="H7" s="74">
        <f t="shared" si="1"/>
        <v>4.8355767798869916E-4</v>
      </c>
      <c r="I7" s="129">
        <v>26227334.050000001</v>
      </c>
      <c r="J7" s="130">
        <v>19090327.209999997</v>
      </c>
      <c r="K7" s="96">
        <f t="shared" si="3"/>
        <v>12675421.949999999</v>
      </c>
      <c r="L7" s="131"/>
      <c r="N7" s="12">
        <f>791776*3</f>
        <v>2375328</v>
      </c>
    </row>
    <row r="8" spans="1:14" ht="15.6" x14ac:dyDescent="0.3">
      <c r="A8" s="127" t="s">
        <v>7</v>
      </c>
      <c r="B8" s="128">
        <v>0</v>
      </c>
      <c r="C8" s="30">
        <v>557846400</v>
      </c>
      <c r="D8" s="30"/>
      <c r="E8" s="30"/>
      <c r="F8" s="30"/>
      <c r="G8" s="59">
        <f t="shared" si="2"/>
        <v>557846400</v>
      </c>
      <c r="H8" s="74">
        <f t="shared" si="1"/>
        <v>6.9339794295899008E-3</v>
      </c>
      <c r="I8" s="129">
        <v>157846400.2893829</v>
      </c>
      <c r="J8" s="130">
        <v>2845926.5</v>
      </c>
      <c r="K8" s="96">
        <f t="shared" si="3"/>
        <v>399999999.71061707</v>
      </c>
      <c r="L8" s="131"/>
      <c r="N8" s="12"/>
    </row>
    <row r="9" spans="1:14" ht="15.6" x14ac:dyDescent="0.3">
      <c r="A9" s="127" t="s">
        <v>6</v>
      </c>
      <c r="B9" s="128">
        <f>2372977</f>
        <v>2372977</v>
      </c>
      <c r="C9" s="30">
        <f>2656381.07+907526+5000000</f>
        <v>8563907.0700000003</v>
      </c>
      <c r="D9" s="30"/>
      <c r="E9" s="30"/>
      <c r="F9" s="30"/>
      <c r="G9" s="59">
        <f t="shared" si="2"/>
        <v>10936884.07</v>
      </c>
      <c r="H9" s="74">
        <f t="shared" si="1"/>
        <v>1.3594446278615308E-4</v>
      </c>
      <c r="I9" s="129">
        <v>5029358.07</v>
      </c>
      <c r="J9" s="130">
        <v>5029358.07</v>
      </c>
      <c r="K9" s="96">
        <f t="shared" si="3"/>
        <v>5907526</v>
      </c>
      <c r="L9" s="131"/>
      <c r="N9" s="12">
        <f>131909*3</f>
        <v>395727</v>
      </c>
    </row>
    <row r="10" spans="1:14" ht="15.6" x14ac:dyDescent="0.3">
      <c r="A10" s="127" t="s">
        <v>5</v>
      </c>
      <c r="B10" s="128">
        <f>1252100</f>
        <v>1252100</v>
      </c>
      <c r="C10" s="30">
        <f>1593826.5+544472+5000000</f>
        <v>7138298.5</v>
      </c>
      <c r="D10" s="30"/>
      <c r="E10" s="30"/>
      <c r="F10" s="30"/>
      <c r="G10" s="59">
        <f t="shared" si="2"/>
        <v>8390398.5</v>
      </c>
      <c r="H10" s="74">
        <f t="shared" si="1"/>
        <v>1.0429188143019649E-4</v>
      </c>
      <c r="I10" s="129">
        <v>2845926.5</v>
      </c>
      <c r="J10" s="130">
        <v>157846400.2893829</v>
      </c>
      <c r="K10" s="96">
        <f t="shared" si="3"/>
        <v>5544472</v>
      </c>
      <c r="L10" s="131"/>
      <c r="N10" s="61">
        <f>97086*3</f>
        <v>291258</v>
      </c>
    </row>
    <row r="11" spans="1:14" ht="15.6" x14ac:dyDescent="0.3">
      <c r="A11" s="27" t="s">
        <v>8</v>
      </c>
      <c r="B11" s="14">
        <f t="shared" ref="B11:G11" si="4">SUM(B12:B26)</f>
        <v>242975331</v>
      </c>
      <c r="C11" s="14">
        <f t="shared" si="4"/>
        <v>473068195.63999999</v>
      </c>
      <c r="D11" s="14">
        <f t="shared" si="4"/>
        <v>0</v>
      </c>
      <c r="E11" s="14">
        <f t="shared" si="4"/>
        <v>72347922</v>
      </c>
      <c r="F11" s="14">
        <f t="shared" si="4"/>
        <v>0</v>
      </c>
      <c r="G11" s="14">
        <f t="shared" si="4"/>
        <v>788391448.63999987</v>
      </c>
      <c r="H11" s="73">
        <f t="shared" si="1"/>
        <v>9.7996331738169178E-3</v>
      </c>
      <c r="I11" s="116">
        <f>SUM(I12:I26)</f>
        <v>497644260.24000001</v>
      </c>
      <c r="J11" s="108">
        <f>SUM(J12:J26)</f>
        <v>496364761.39000005</v>
      </c>
      <c r="K11" s="96">
        <f t="shared" si="3"/>
        <v>290747188.39999986</v>
      </c>
      <c r="L11" s="126"/>
      <c r="N11" s="56">
        <f>SUM(N12:N26)</f>
        <v>55180732</v>
      </c>
    </row>
    <row r="12" spans="1:14" ht="15.6" x14ac:dyDescent="0.3">
      <c r="A12" s="127" t="s">
        <v>24</v>
      </c>
      <c r="B12" s="30">
        <v>5738253.9999999991</v>
      </c>
      <c r="C12" s="30">
        <f>7007649.73+2000000</f>
        <v>9007649.7300000004</v>
      </c>
      <c r="D12" s="16"/>
      <c r="E12" s="16"/>
      <c r="F12" s="16"/>
      <c r="G12" s="59">
        <f t="shared" ref="G12:G27" si="5">SUM(B12:F12)</f>
        <v>14745903.73</v>
      </c>
      <c r="H12" s="74">
        <f t="shared" si="1"/>
        <v>1.8329022672644834E-4</v>
      </c>
      <c r="I12" s="134">
        <v>12745903.73</v>
      </c>
      <c r="J12" s="135">
        <v>31736155.949999999</v>
      </c>
      <c r="K12" s="96">
        <f t="shared" si="3"/>
        <v>2000000</v>
      </c>
      <c r="L12" s="136"/>
      <c r="M12" s="13"/>
      <c r="N12" s="12">
        <v>5738253.9999999991</v>
      </c>
    </row>
    <row r="13" spans="1:14" ht="15.6" x14ac:dyDescent="0.3">
      <c r="A13" s="127" t="s">
        <v>14</v>
      </c>
      <c r="B13" s="128">
        <f>28039523</f>
        <v>28039523</v>
      </c>
      <c r="C13" s="30">
        <f>8564001.005+10000000</f>
        <v>18564001.005000003</v>
      </c>
      <c r="D13" s="16"/>
      <c r="E13" s="16"/>
      <c r="F13" s="16"/>
      <c r="G13" s="59">
        <f t="shared" si="5"/>
        <v>46603524.005000003</v>
      </c>
      <c r="H13" s="74">
        <f t="shared" si="1"/>
        <v>5.7927751581272045E-4</v>
      </c>
      <c r="I13" s="134">
        <v>32603524.004999995</v>
      </c>
      <c r="J13" s="135">
        <v>10739916.282500001</v>
      </c>
      <c r="K13" s="96">
        <f t="shared" si="3"/>
        <v>14000000.000000007</v>
      </c>
      <c r="L13" s="136"/>
      <c r="N13" s="12">
        <f>2139179*3</f>
        <v>6417537</v>
      </c>
    </row>
    <row r="14" spans="1:14" ht="15.6" x14ac:dyDescent="0.3">
      <c r="A14" s="127" t="s">
        <v>15</v>
      </c>
      <c r="B14" s="128">
        <f>4068374</f>
        <v>4068374</v>
      </c>
      <c r="C14" s="30">
        <f>6641635.65+2000000+5000000</f>
        <v>13641635.65</v>
      </c>
      <c r="D14" s="16"/>
      <c r="E14" s="16"/>
      <c r="F14" s="16"/>
      <c r="G14" s="59">
        <f t="shared" si="5"/>
        <v>17710009.649999999</v>
      </c>
      <c r="H14" s="74">
        <f t="shared" si="1"/>
        <v>2.201337906114275E-4</v>
      </c>
      <c r="I14" s="134">
        <v>10710009.65</v>
      </c>
      <c r="J14" s="135">
        <v>32281255.252500001</v>
      </c>
      <c r="K14" s="96">
        <f t="shared" si="3"/>
        <v>6999999.9999999981</v>
      </c>
      <c r="L14" s="136"/>
      <c r="N14" s="12">
        <f>308380*3</f>
        <v>925140</v>
      </c>
    </row>
    <row r="15" spans="1:14" ht="15.6" x14ac:dyDescent="0.3">
      <c r="A15" s="127" t="s">
        <v>23</v>
      </c>
      <c r="B15" s="128">
        <v>1617275</v>
      </c>
      <c r="C15" s="30">
        <f>7007649.73+2000000+3000000</f>
        <v>12007649.73</v>
      </c>
      <c r="D15" s="16"/>
      <c r="E15" s="16"/>
      <c r="F15" s="16"/>
      <c r="G15" s="59">
        <f t="shared" si="5"/>
        <v>13624924.73</v>
      </c>
      <c r="H15" s="74">
        <f t="shared" si="1"/>
        <v>1.6935656088760406E-4</v>
      </c>
      <c r="I15" s="134">
        <v>8624924.7300000004</v>
      </c>
      <c r="J15" s="135">
        <v>29808923.132499997</v>
      </c>
      <c r="K15" s="96">
        <f t="shared" si="3"/>
        <v>5000000</v>
      </c>
      <c r="L15" s="136"/>
      <c r="N15" s="12">
        <v>1617275</v>
      </c>
    </row>
    <row r="16" spans="1:14" ht="15.6" x14ac:dyDescent="0.3">
      <c r="A16" s="127" t="s">
        <v>11</v>
      </c>
      <c r="B16" s="128">
        <f>5526413</f>
        <v>5526413</v>
      </c>
      <c r="C16" s="30">
        <f>7213503.2825+20000000</f>
        <v>27213503.282499999</v>
      </c>
      <c r="D16" s="16"/>
      <c r="E16" s="16"/>
      <c r="F16" s="16"/>
      <c r="G16" s="59">
        <f t="shared" si="5"/>
        <v>32739916.282499999</v>
      </c>
      <c r="H16" s="74">
        <f t="shared" si="1"/>
        <v>4.0695414728740824E-4</v>
      </c>
      <c r="I16" s="134">
        <v>10739916.282500001</v>
      </c>
      <c r="J16" s="135">
        <v>32603524.004999995</v>
      </c>
      <c r="K16" s="96">
        <f t="shared" si="3"/>
        <v>22000000</v>
      </c>
      <c r="L16" s="136"/>
      <c r="N16" s="12">
        <f>337375*3</f>
        <v>1012125</v>
      </c>
    </row>
    <row r="17" spans="1:14" ht="15.6" x14ac:dyDescent="0.3">
      <c r="A17" s="127" t="s">
        <v>10</v>
      </c>
      <c r="B17" s="128">
        <f>44297023+12000000-12000000</f>
        <v>44297023</v>
      </c>
      <c r="C17" s="128">
        <f>41729664.25+10000000-10000000+10000000</f>
        <v>51729664.25</v>
      </c>
      <c r="D17" s="16"/>
      <c r="E17" s="16"/>
      <c r="F17" s="16"/>
      <c r="G17" s="59">
        <f t="shared" si="5"/>
        <v>96026687.25</v>
      </c>
      <c r="H17" s="74">
        <f t="shared" si="1"/>
        <v>1.1936028879690947E-3</v>
      </c>
      <c r="I17" s="134">
        <v>38026687.25</v>
      </c>
      <c r="J17" s="135">
        <v>10710009.65</v>
      </c>
      <c r="K17" s="96">
        <f t="shared" si="3"/>
        <v>58000000</v>
      </c>
      <c r="L17" s="136"/>
      <c r="N17" s="12">
        <f>2116942*3</f>
        <v>6350826</v>
      </c>
    </row>
    <row r="18" spans="1:14" ht="15.6" x14ac:dyDescent="0.3">
      <c r="A18" s="127" t="s">
        <v>20</v>
      </c>
      <c r="B18" s="128">
        <f>8308481</f>
        <v>8308481</v>
      </c>
      <c r="C18" s="128">
        <f>12060314.88+20000000</f>
        <v>32060314.880000003</v>
      </c>
      <c r="D18" s="16"/>
      <c r="E18" s="16"/>
      <c r="F18" s="16"/>
      <c r="G18" s="59">
        <f t="shared" si="5"/>
        <v>40368795.880000003</v>
      </c>
      <c r="H18" s="74">
        <f t="shared" si="1"/>
        <v>5.0178041882000771E-4</v>
      </c>
      <c r="I18" s="134">
        <v>15368795.879999999</v>
      </c>
      <c r="J18" s="135">
        <v>27885989.242499996</v>
      </c>
      <c r="K18" s="96">
        <f t="shared" si="3"/>
        <v>25000000.000000004</v>
      </c>
      <c r="L18" s="136"/>
      <c r="N18" s="12">
        <f>655445*3</f>
        <v>1966335</v>
      </c>
    </row>
    <row r="19" spans="1:14" ht="15.6" x14ac:dyDescent="0.3">
      <c r="A19" s="127" t="s">
        <v>9</v>
      </c>
      <c r="B19" s="128">
        <f>20335518</f>
        <v>20335518</v>
      </c>
      <c r="C19" s="128">
        <f>14400637.95+20000000</f>
        <v>34400637.950000003</v>
      </c>
      <c r="D19" s="16"/>
      <c r="E19" s="16"/>
      <c r="F19" s="16"/>
      <c r="G19" s="59">
        <f t="shared" si="5"/>
        <v>54736155.950000003</v>
      </c>
      <c r="H19" s="74">
        <f t="shared" si="1"/>
        <v>6.8036538267904009E-4</v>
      </c>
      <c r="I19" s="134">
        <v>31736155.949999999</v>
      </c>
      <c r="J19" s="135">
        <v>8418128.1500000004</v>
      </c>
      <c r="K19" s="96">
        <f t="shared" si="3"/>
        <v>23000000.000000004</v>
      </c>
      <c r="L19" s="136"/>
      <c r="N19" s="12">
        <f>1594294*3</f>
        <v>4782882</v>
      </c>
    </row>
    <row r="20" spans="1:14" ht="15.6" x14ac:dyDescent="0.3">
      <c r="A20" s="127" t="s">
        <v>224</v>
      </c>
      <c r="B20" s="128">
        <f>24278214+6997188</f>
        <v>31275402</v>
      </c>
      <c r="C20" s="128">
        <f>12003041.2525+20000000+44750000</f>
        <v>76753041.252499998</v>
      </c>
      <c r="D20" s="16"/>
      <c r="E20" s="16"/>
      <c r="F20" s="16"/>
      <c r="G20" s="59">
        <f t="shared" si="5"/>
        <v>108028443.2525</v>
      </c>
      <c r="H20" s="74">
        <f t="shared" si="1"/>
        <v>1.3427836109069717E-3</v>
      </c>
      <c r="I20" s="134">
        <v>32281255.252500001</v>
      </c>
      <c r="J20" s="135">
        <v>46672319.685000002</v>
      </c>
      <c r="K20" s="96">
        <f t="shared" si="3"/>
        <v>75747188</v>
      </c>
      <c r="L20" s="136"/>
      <c r="N20" s="12">
        <f>2324881*3</f>
        <v>6974643</v>
      </c>
    </row>
    <row r="21" spans="1:14" ht="15.6" x14ac:dyDescent="0.3">
      <c r="A21" s="127" t="s">
        <v>19</v>
      </c>
      <c r="B21" s="128">
        <f>20522938</f>
        <v>20522938</v>
      </c>
      <c r="C21" s="30">
        <f>8881449.4+20000000</f>
        <v>28881449.399999999</v>
      </c>
      <c r="D21" s="16"/>
      <c r="E21" s="30">
        <v>72347922</v>
      </c>
      <c r="F21" s="16"/>
      <c r="G21" s="59">
        <f t="shared" si="5"/>
        <v>121752309.40000001</v>
      </c>
      <c r="H21" s="74">
        <f t="shared" si="1"/>
        <v>1.5133700045113945E-3</v>
      </c>
      <c r="I21" s="134">
        <v>99752309</v>
      </c>
      <c r="J21" s="135">
        <v>99752309.400000006</v>
      </c>
      <c r="K21" s="96">
        <f t="shared" si="3"/>
        <v>22000000.400000006</v>
      </c>
      <c r="L21" s="136"/>
      <c r="N21" s="12">
        <f>892654*3</f>
        <v>2677962</v>
      </c>
    </row>
    <row r="22" spans="1:14" ht="15.6" x14ac:dyDescent="0.3">
      <c r="A22" s="127" t="s">
        <v>16</v>
      </c>
      <c r="B22" s="128">
        <f>25043768</f>
        <v>25043768</v>
      </c>
      <c r="C22" s="30">
        <f>6842221.2425+10000000</f>
        <v>16842221.2425</v>
      </c>
      <c r="D22" s="16"/>
      <c r="E22" s="16"/>
      <c r="F22" s="16"/>
      <c r="G22" s="59">
        <f t="shared" si="5"/>
        <v>41885989.2425</v>
      </c>
      <c r="H22" s="74">
        <f t="shared" si="1"/>
        <v>5.2063899273262118E-4</v>
      </c>
      <c r="I22" s="134">
        <v>27885989.242499996</v>
      </c>
      <c r="J22" s="135">
        <v>15368795.879999999</v>
      </c>
      <c r="K22" s="96">
        <f t="shared" si="3"/>
        <v>14000000.000000004</v>
      </c>
      <c r="L22" s="136"/>
      <c r="N22" s="12">
        <f>1906840*3</f>
        <v>5720520</v>
      </c>
    </row>
    <row r="23" spans="1:14" ht="15.6" x14ac:dyDescent="0.3">
      <c r="A23" s="127" t="s">
        <v>18</v>
      </c>
      <c r="B23" s="128">
        <v>1594050.9999999998</v>
      </c>
      <c r="C23" s="30">
        <f>9078268.685+36000000+2000000</f>
        <v>47078268.685000002</v>
      </c>
      <c r="D23" s="16"/>
      <c r="E23" s="16"/>
      <c r="F23" s="16"/>
      <c r="G23" s="59">
        <f t="shared" si="5"/>
        <v>48672319.685000002</v>
      </c>
      <c r="H23" s="74">
        <f t="shared" si="1"/>
        <v>6.0499245578391045E-4</v>
      </c>
      <c r="I23" s="134">
        <v>46672319.685000002</v>
      </c>
      <c r="J23" s="135">
        <v>36747188</v>
      </c>
      <c r="K23" s="96">
        <f t="shared" si="3"/>
        <v>2000000</v>
      </c>
      <c r="L23" s="136"/>
      <c r="N23" s="12">
        <v>1594050.9999999998</v>
      </c>
    </row>
    <row r="24" spans="1:14" ht="15.6" x14ac:dyDescent="0.3">
      <c r="A24" s="127" t="s">
        <v>17</v>
      </c>
      <c r="B24" s="128">
        <f>6434706</f>
        <v>6434706</v>
      </c>
      <c r="C24" s="30">
        <f>3983422.15+5000000</f>
        <v>8983422.1500000004</v>
      </c>
      <c r="D24" s="16"/>
      <c r="E24" s="16"/>
      <c r="F24" s="16"/>
      <c r="G24" s="59">
        <f t="shared" si="5"/>
        <v>15418128.15</v>
      </c>
      <c r="H24" s="74">
        <f t="shared" si="1"/>
        <v>1.9164591442174942E-4</v>
      </c>
      <c r="I24" s="134">
        <v>8418128.1500000004</v>
      </c>
      <c r="J24" s="135">
        <v>92269418.299999997</v>
      </c>
      <c r="K24" s="96">
        <f t="shared" si="3"/>
        <v>7000000</v>
      </c>
      <c r="L24" s="136"/>
      <c r="N24" s="12">
        <f>292827*3</f>
        <v>878481</v>
      </c>
    </row>
    <row r="25" spans="1:14" ht="15.6" x14ac:dyDescent="0.3">
      <c r="A25" s="127" t="s">
        <v>22</v>
      </c>
      <c r="B25" s="128">
        <f>20655713</f>
        <v>20655713</v>
      </c>
      <c r="C25" s="30">
        <f>71613705.3+2000000</f>
        <v>73613705.299999997</v>
      </c>
      <c r="D25" s="16"/>
      <c r="E25" s="16"/>
      <c r="F25" s="16"/>
      <c r="G25" s="59">
        <f t="shared" si="5"/>
        <v>94269418.299999997</v>
      </c>
      <c r="H25" s="74">
        <f t="shared" si="1"/>
        <v>1.1717601965910431E-3</v>
      </c>
      <c r="I25" s="134">
        <v>92269418.299999997</v>
      </c>
      <c r="J25" s="135">
        <v>8624924.7300000004</v>
      </c>
      <c r="K25" s="96">
        <f t="shared" si="3"/>
        <v>2000000</v>
      </c>
      <c r="L25" s="136"/>
      <c r="N25" s="12">
        <f>1456993*3</f>
        <v>4370979</v>
      </c>
    </row>
    <row r="26" spans="1:14" ht="15.6" x14ac:dyDescent="0.3">
      <c r="A26" s="127" t="s">
        <v>13</v>
      </c>
      <c r="B26" s="128">
        <f>19517892</f>
        <v>19517892</v>
      </c>
      <c r="C26" s="30">
        <f>10291031.1325+2000000+10000000</f>
        <v>22291031.1325</v>
      </c>
      <c r="D26" s="16"/>
      <c r="E26" s="16"/>
      <c r="F26" s="16"/>
      <c r="G26" s="59">
        <f t="shared" si="5"/>
        <v>41808923.1325</v>
      </c>
      <c r="H26" s="74">
        <f t="shared" si="1"/>
        <v>5.1968106807547801E-4</v>
      </c>
      <c r="I26" s="134">
        <v>29808923.132499997</v>
      </c>
      <c r="J26" s="135">
        <v>12745903.73</v>
      </c>
      <c r="K26" s="96">
        <f t="shared" si="3"/>
        <v>12000000.000000004</v>
      </c>
      <c r="L26" s="136"/>
      <c r="N26" s="12">
        <f>1384574*3</f>
        <v>4153722</v>
      </c>
    </row>
    <row r="27" spans="1:14" ht="15.6" x14ac:dyDescent="0.3">
      <c r="A27" s="27" t="s">
        <v>25</v>
      </c>
      <c r="B27" s="14">
        <f t="shared" ref="B27:E27" si="6">SUM(B28:B30)</f>
        <v>789608504</v>
      </c>
      <c r="C27" s="14">
        <f t="shared" si="6"/>
        <v>899421711.75</v>
      </c>
      <c r="D27" s="14">
        <f t="shared" si="6"/>
        <v>1970419478</v>
      </c>
      <c r="E27" s="14">
        <f t="shared" si="6"/>
        <v>4017503297</v>
      </c>
      <c r="F27" s="14">
        <f>SUM(F28:F30)</f>
        <v>0</v>
      </c>
      <c r="G27" s="14">
        <f t="shared" si="5"/>
        <v>7676952990.75</v>
      </c>
      <c r="H27" s="73">
        <f t="shared" si="1"/>
        <v>9.5423819387898109E-2</v>
      </c>
      <c r="I27" s="116">
        <f>SUM(I28:I30)</f>
        <v>1862205014.75</v>
      </c>
      <c r="J27" s="108">
        <f>SUM(J28:J30)</f>
        <v>2895211254.7150002</v>
      </c>
      <c r="K27" s="96">
        <f t="shared" si="3"/>
        <v>5814747976</v>
      </c>
      <c r="L27" s="137"/>
      <c r="N27" s="56">
        <f>SUM(N28:N29)</f>
        <v>240756123</v>
      </c>
    </row>
    <row r="28" spans="1:14" ht="15.6" x14ac:dyDescent="0.3">
      <c r="A28" s="127" t="s">
        <v>26</v>
      </c>
      <c r="B28" s="128">
        <f>284582413</f>
        <v>284582413</v>
      </c>
      <c r="C28" s="128">
        <f>106585791.65+604328498</f>
        <v>710914289.64999998</v>
      </c>
      <c r="D28" s="128">
        <f>1000000000-764300000+338025517+1396693961</f>
        <v>1970419478</v>
      </c>
      <c r="E28" s="128">
        <f>1017503297+3000000000</f>
        <v>4017503297</v>
      </c>
      <c r="F28" s="30"/>
      <c r="G28" s="59">
        <f t="shared" ref="G28:G30" si="7">SUM(B28:F28)</f>
        <v>6983419477.6499996</v>
      </c>
      <c r="H28" s="74">
        <f t="shared" si="1"/>
        <v>8.6803261625821276E-2</v>
      </c>
      <c r="I28" s="134">
        <v>1408671501.6500001</v>
      </c>
      <c r="J28" s="135">
        <v>1408671501.6500001</v>
      </c>
      <c r="K28" s="96">
        <f t="shared" si="3"/>
        <v>5574747976</v>
      </c>
      <c r="L28" s="136"/>
      <c r="N28" s="12">
        <f>4868590*3</f>
        <v>14605770</v>
      </c>
    </row>
    <row r="29" spans="1:14" ht="15.6" x14ac:dyDescent="0.3">
      <c r="A29" s="127" t="s">
        <v>27</v>
      </c>
      <c r="B29" s="128">
        <f>500026091</f>
        <v>500026091</v>
      </c>
      <c r="C29" s="128">
        <f>78507422.1+10000000</f>
        <v>88507422.099999994</v>
      </c>
      <c r="D29" s="30"/>
      <c r="E29" s="30"/>
      <c r="F29" s="30"/>
      <c r="G29" s="59">
        <f t="shared" si="7"/>
        <v>588533513.10000002</v>
      </c>
      <c r="H29" s="74">
        <f t="shared" si="1"/>
        <v>7.3154174221787185E-3</v>
      </c>
      <c r="I29" s="134">
        <v>453533513.10000002</v>
      </c>
      <c r="J29" s="135">
        <v>453533513.10000002</v>
      </c>
      <c r="K29" s="96">
        <f t="shared" si="3"/>
        <v>135000000</v>
      </c>
      <c r="L29" s="136"/>
      <c r="N29" s="12">
        <f>45034451*3+8277000*11</f>
        <v>226150353</v>
      </c>
    </row>
    <row r="30" spans="1:14" s="5" customFormat="1" ht="15.6" x14ac:dyDescent="0.3">
      <c r="A30" s="127" t="s">
        <v>219</v>
      </c>
      <c r="B30" s="30">
        <v>5000000</v>
      </c>
      <c r="C30" s="30">
        <v>100000000</v>
      </c>
      <c r="D30" s="30"/>
      <c r="E30" s="30"/>
      <c r="F30" s="30"/>
      <c r="G30" s="59">
        <f t="shared" si="7"/>
        <v>105000000</v>
      </c>
      <c r="H30" s="74">
        <f t="shared" si="1"/>
        <v>1.3051403398981146E-3</v>
      </c>
      <c r="I30" s="117"/>
      <c r="J30" s="138">
        <v>1033006239.965</v>
      </c>
      <c r="K30" s="96">
        <f t="shared" si="3"/>
        <v>105000000</v>
      </c>
      <c r="L30" s="136"/>
      <c r="N30" s="12">
        <v>5000000</v>
      </c>
    </row>
    <row r="31" spans="1:14" ht="15.6" x14ac:dyDescent="0.3">
      <c r="A31" s="27" t="s">
        <v>28</v>
      </c>
      <c r="B31" s="14">
        <f>SUM(B32:B34)</f>
        <v>416132277</v>
      </c>
      <c r="C31" s="14">
        <f t="shared" ref="C31:F31" si="8">SUM(C32:C34)</f>
        <v>421830708.565</v>
      </c>
      <c r="D31" s="14">
        <f t="shared" si="8"/>
        <v>0</v>
      </c>
      <c r="E31" s="14">
        <f t="shared" si="8"/>
        <v>779006525</v>
      </c>
      <c r="F31" s="14">
        <f t="shared" si="8"/>
        <v>0</v>
      </c>
      <c r="G31" s="14">
        <f>SUM(B31:F31)</f>
        <v>1616969510.5650001</v>
      </c>
      <c r="H31" s="14">
        <f t="shared" ref="H31" si="9">SUM(C31:G31)</f>
        <v>2817806744.1300001</v>
      </c>
      <c r="I31" s="14">
        <f>SUM(I32:I34)</f>
        <v>1052657447.53</v>
      </c>
      <c r="J31" s="109">
        <f>SUM(J32:J34)</f>
        <v>479044517.0025</v>
      </c>
      <c r="K31" s="96">
        <f t="shared" si="3"/>
        <v>564312063.03500009</v>
      </c>
      <c r="L31" s="131"/>
      <c r="N31" s="56">
        <f>SUM(N32:N34)</f>
        <v>39884784</v>
      </c>
    </row>
    <row r="32" spans="1:14" ht="15.6" x14ac:dyDescent="0.3">
      <c r="A32" s="127" t="s">
        <v>31</v>
      </c>
      <c r="B32" s="139">
        <f>2254781</f>
        <v>2254781</v>
      </c>
      <c r="C32" s="30">
        <f>3517946.425+3000000</f>
        <v>6517946.4249999998</v>
      </c>
      <c r="D32" s="30"/>
      <c r="E32" s="30"/>
      <c r="F32" s="30"/>
      <c r="G32" s="59">
        <f>SUM(B32:F32)</f>
        <v>8772727.4250000007</v>
      </c>
      <c r="H32" s="74">
        <f t="shared" ref="H32:H63" si="10">G32/$G$100</f>
        <v>1.0904419479331439E-4</v>
      </c>
      <c r="I32" s="134">
        <v>5772727.4249999989</v>
      </c>
      <c r="J32" s="135">
        <v>13878480.140000001</v>
      </c>
      <c r="K32" s="96">
        <f t="shared" si="3"/>
        <v>3000000.0000000019</v>
      </c>
      <c r="L32" s="136"/>
      <c r="N32" s="12">
        <f>144778*3</f>
        <v>434334</v>
      </c>
    </row>
    <row r="33" spans="1:14" ht="15.6" x14ac:dyDescent="0.3">
      <c r="A33" s="127" t="s">
        <v>30</v>
      </c>
      <c r="B33" s="128">
        <f>8565718</f>
        <v>8565718</v>
      </c>
      <c r="C33" s="30">
        <f>5312762.14+10000000</f>
        <v>15312762.140000001</v>
      </c>
      <c r="D33" s="30"/>
      <c r="E33" s="30"/>
      <c r="F33" s="30"/>
      <c r="G33" s="59">
        <f>SUM(B33:F33)</f>
        <v>23878480.140000001</v>
      </c>
      <c r="H33" s="74">
        <f t="shared" si="10"/>
        <v>2.9680731129685695E-4</v>
      </c>
      <c r="I33" s="134">
        <v>13878480.140000001</v>
      </c>
      <c r="J33" s="135">
        <v>5772727.4249999989</v>
      </c>
      <c r="K33" s="96">
        <f t="shared" si="3"/>
        <v>10000000</v>
      </c>
      <c r="L33" s="136"/>
      <c r="N33" s="12">
        <f>555533*3</f>
        <v>1666599</v>
      </c>
    </row>
    <row r="34" spans="1:14" ht="15.6" x14ac:dyDescent="0.3">
      <c r="A34" s="127" t="s">
        <v>29</v>
      </c>
      <c r="B34" s="128">
        <f>424527432-11009182-8206472</f>
        <v>405311778</v>
      </c>
      <c r="C34" s="128">
        <v>400000000</v>
      </c>
      <c r="D34" s="30"/>
      <c r="E34" s="128">
        <v>779006525</v>
      </c>
      <c r="F34" s="30"/>
      <c r="G34" s="59">
        <f>SUM(B34:F34)</f>
        <v>1584318303</v>
      </c>
      <c r="H34" s="74">
        <f t="shared" si="10"/>
        <v>1.96929307474688E-2</v>
      </c>
      <c r="I34" s="140">
        <v>1033006239.965</v>
      </c>
      <c r="J34" s="138">
        <v>459393309.4375</v>
      </c>
      <c r="K34" s="96">
        <f t="shared" si="3"/>
        <v>551312063.03499997</v>
      </c>
      <c r="L34" s="136"/>
      <c r="N34" s="12">
        <f>12594617*3</f>
        <v>37783851</v>
      </c>
    </row>
    <row r="35" spans="1:14" ht="15.6" x14ac:dyDescent="0.3">
      <c r="A35" s="27" t="s">
        <v>32</v>
      </c>
      <c r="B35" s="14">
        <f>SUM(B36:B40)</f>
        <v>80962894</v>
      </c>
      <c r="C35" s="14">
        <f t="shared" ref="C35:F35" si="11">SUM(C36:C40)</f>
        <v>136357617.4375</v>
      </c>
      <c r="D35" s="14">
        <f t="shared" si="11"/>
        <v>2560000000</v>
      </c>
      <c r="E35" s="14">
        <f t="shared" si="11"/>
        <v>0</v>
      </c>
      <c r="F35" s="14">
        <f t="shared" si="11"/>
        <v>0</v>
      </c>
      <c r="G35" s="14">
        <f>SUM(B35:F35)</f>
        <v>2777320511.4375</v>
      </c>
      <c r="H35" s="73">
        <f t="shared" si="10"/>
        <v>3.4521838440986136E-2</v>
      </c>
      <c r="I35" s="115">
        <f>SUM(I36:I40)</f>
        <v>459393309.81</v>
      </c>
      <c r="J35" s="108">
        <f>SUM(J36:J40)</f>
        <v>1245875900.45</v>
      </c>
      <c r="K35" s="96">
        <f t="shared" si="3"/>
        <v>2317927201.6275001</v>
      </c>
      <c r="L35" s="15"/>
      <c r="N35" s="12">
        <f>SUM(N36:N40)</f>
        <v>12214899</v>
      </c>
    </row>
    <row r="36" spans="1:14" ht="15.6" x14ac:dyDescent="0.3">
      <c r="A36" s="127" t="s">
        <v>33</v>
      </c>
      <c r="B36" s="128">
        <f>15459772</f>
        <v>15459772</v>
      </c>
      <c r="C36" s="30">
        <f>7239186.6275+20000000</f>
        <v>27239186.627500001</v>
      </c>
      <c r="D36" s="30"/>
      <c r="E36" s="30"/>
      <c r="F36" s="30"/>
      <c r="G36" s="59">
        <f t="shared" ref="G36:G40" si="12">SUM(B36:F36)</f>
        <v>42698958.627499998</v>
      </c>
      <c r="H36" s="74">
        <f t="shared" si="10"/>
        <v>5.307441273941988E-4</v>
      </c>
      <c r="I36" s="141">
        <v>22698959</v>
      </c>
      <c r="J36" s="135">
        <v>38701228.75</v>
      </c>
      <c r="K36" s="96">
        <f t="shared" si="3"/>
        <v>19999999.627499998</v>
      </c>
      <c r="L36" s="136"/>
      <c r="N36" s="12">
        <f>639289*3</f>
        <v>1917867</v>
      </c>
    </row>
    <row r="37" spans="1:14" ht="15.6" x14ac:dyDescent="0.3">
      <c r="A37" s="127" t="s">
        <v>37</v>
      </c>
      <c r="B37" s="128">
        <f>7153684</f>
        <v>7153684</v>
      </c>
      <c r="C37" s="30">
        <v>14483641.385000002</v>
      </c>
      <c r="D37" s="142">
        <v>500000000</v>
      </c>
      <c r="E37" s="30"/>
      <c r="F37" s="30"/>
      <c r="G37" s="59">
        <f t="shared" si="12"/>
        <v>521637325.38499999</v>
      </c>
      <c r="H37" s="74">
        <f t="shared" si="10"/>
        <v>6.4839039633954503E-3</v>
      </c>
      <c r="I37" s="134">
        <v>85637325.385000005</v>
      </c>
      <c r="J37" s="135">
        <v>207481812.67500001</v>
      </c>
      <c r="K37" s="96">
        <f t="shared" si="3"/>
        <v>436000000</v>
      </c>
      <c r="L37" s="136"/>
      <c r="N37" s="12">
        <f>484560*3</f>
        <v>1453680</v>
      </c>
    </row>
    <row r="38" spans="1:14" ht="15.6" x14ac:dyDescent="0.3">
      <c r="A38" s="127" t="s">
        <v>34</v>
      </c>
      <c r="B38" s="128">
        <f>26969142</f>
        <v>26969142</v>
      </c>
      <c r="C38" s="128">
        <v>26732086.75</v>
      </c>
      <c r="D38" s="128">
        <v>500000000</v>
      </c>
      <c r="E38" s="30"/>
      <c r="F38" s="30"/>
      <c r="G38" s="59">
        <f t="shared" si="12"/>
        <v>553701228.75</v>
      </c>
      <c r="H38" s="74">
        <f t="shared" si="10"/>
        <v>6.8824553323121778E-3</v>
      </c>
      <c r="I38" s="134">
        <v>38701228.75</v>
      </c>
      <c r="J38" s="135">
        <v>104873984</v>
      </c>
      <c r="K38" s="96">
        <f t="shared" si="3"/>
        <v>515000000</v>
      </c>
      <c r="L38" s="136"/>
      <c r="N38" s="12">
        <f>710510*3</f>
        <v>2131530</v>
      </c>
    </row>
    <row r="39" spans="1:14" ht="15.6" x14ac:dyDescent="0.3">
      <c r="A39" s="127" t="s">
        <v>36</v>
      </c>
      <c r="B39" s="128">
        <f>29612234</f>
        <v>29612234</v>
      </c>
      <c r="C39" s="128">
        <v>57261750</v>
      </c>
      <c r="D39" s="133">
        <v>60000000</v>
      </c>
      <c r="E39" s="30"/>
      <c r="F39" s="30"/>
      <c r="G39" s="59">
        <f t="shared" si="12"/>
        <v>146873984</v>
      </c>
      <c r="H39" s="74">
        <f t="shared" si="10"/>
        <v>1.8256301085709547E-3</v>
      </c>
      <c r="I39" s="134">
        <v>104873984</v>
      </c>
      <c r="J39" s="135">
        <v>85637325.385000005</v>
      </c>
      <c r="K39" s="96">
        <f t="shared" si="3"/>
        <v>42000000</v>
      </c>
      <c r="L39" s="136"/>
      <c r="N39" s="12">
        <f>1647920*3</f>
        <v>4943760</v>
      </c>
    </row>
    <row r="40" spans="1:14" ht="15.6" x14ac:dyDescent="0.3">
      <c r="A40" s="127" t="s">
        <v>35</v>
      </c>
      <c r="B40" s="128">
        <f>589354*3</f>
        <v>1768062</v>
      </c>
      <c r="C40" s="128">
        <v>10640952.675000001</v>
      </c>
      <c r="D40" s="128">
        <v>1500000000</v>
      </c>
      <c r="E40" s="30"/>
      <c r="F40" s="30"/>
      <c r="G40" s="59">
        <f t="shared" si="12"/>
        <v>1512409014.675</v>
      </c>
      <c r="H40" s="74">
        <f t="shared" si="10"/>
        <v>1.8799104909313351E-2</v>
      </c>
      <c r="I40" s="134">
        <v>207481812.67500001</v>
      </c>
      <c r="J40" s="138">
        <v>809181549.63999999</v>
      </c>
      <c r="K40" s="96">
        <f t="shared" si="3"/>
        <v>1304927202</v>
      </c>
      <c r="L40" s="136"/>
      <c r="N40" s="12">
        <f>589354*3</f>
        <v>1768062</v>
      </c>
    </row>
    <row r="41" spans="1:14" ht="15.6" x14ac:dyDescent="0.3">
      <c r="A41" s="27" t="s">
        <v>38</v>
      </c>
      <c r="B41" s="14">
        <f>SUM(B42:B47)</f>
        <v>226031148</v>
      </c>
      <c r="C41" s="14">
        <f t="shared" ref="C41:F41" si="13">SUM(C42:C47)</f>
        <v>165381090.64000002</v>
      </c>
      <c r="D41" s="14">
        <f t="shared" si="13"/>
        <v>50000000</v>
      </c>
      <c r="E41" s="14">
        <f t="shared" si="13"/>
        <v>523769311</v>
      </c>
      <c r="F41" s="14">
        <f t="shared" si="13"/>
        <v>0</v>
      </c>
      <c r="G41" s="14">
        <f t="shared" ref="G41:G48" si="14">SUM(B41:F41)</f>
        <v>965181549.63999999</v>
      </c>
      <c r="H41" s="73">
        <f t="shared" si="10"/>
        <v>1.1997117864386082E-2</v>
      </c>
      <c r="I41" s="115">
        <f>SUM(I42:I47)</f>
        <v>809181549.57500005</v>
      </c>
      <c r="J41" s="110">
        <f>SUM(J42:J47)</f>
        <v>749924885.70750022</v>
      </c>
      <c r="K41" s="96">
        <f t="shared" si="3"/>
        <v>156000000.06499994</v>
      </c>
      <c r="L41" s="15"/>
      <c r="N41" s="56">
        <f>SUM(N42:N47)</f>
        <v>60986208</v>
      </c>
    </row>
    <row r="42" spans="1:14" ht="15.6" x14ac:dyDescent="0.3">
      <c r="A42" s="127" t="s">
        <v>39</v>
      </c>
      <c r="B42" s="128">
        <f>40549973</f>
        <v>40549973</v>
      </c>
      <c r="C42" s="30">
        <v>21706690.932500005</v>
      </c>
      <c r="D42" s="30"/>
      <c r="E42" s="30"/>
      <c r="F42" s="30"/>
      <c r="G42" s="59">
        <f t="shared" si="14"/>
        <v>62256663.932500005</v>
      </c>
      <c r="H42" s="74">
        <f t="shared" si="10"/>
        <v>7.7384460500748323E-4</v>
      </c>
      <c r="I42" s="119">
        <v>59256664</v>
      </c>
      <c r="J42" s="135">
        <v>16993885.1325</v>
      </c>
      <c r="K42" s="96">
        <f t="shared" si="3"/>
        <v>2999999.9325000048</v>
      </c>
      <c r="L42" s="136"/>
      <c r="N42" s="12">
        <f>3437552*3</f>
        <v>10312656</v>
      </c>
    </row>
    <row r="43" spans="1:14" ht="15.6" x14ac:dyDescent="0.3">
      <c r="A43" s="127" t="s">
        <v>42</v>
      </c>
      <c r="B43" s="128">
        <f>14353818</f>
        <v>14353818</v>
      </c>
      <c r="C43" s="30">
        <f>15265100.7+10000000</f>
        <v>25265100.699999999</v>
      </c>
      <c r="D43" s="30"/>
      <c r="E43" s="30">
        <v>7511774</v>
      </c>
      <c r="F43" s="30"/>
      <c r="G43" s="59">
        <f t="shared" si="14"/>
        <v>47130692.700000003</v>
      </c>
      <c r="H43" s="74">
        <f t="shared" si="10"/>
        <v>5.8583017419153898E-4</v>
      </c>
      <c r="I43" s="134">
        <v>37130692.700000003</v>
      </c>
      <c r="J43" s="135">
        <v>666269816.74250007</v>
      </c>
      <c r="K43" s="96">
        <f t="shared" si="3"/>
        <v>10000000</v>
      </c>
      <c r="L43" s="136"/>
      <c r="N43" s="12">
        <f>765684*3</f>
        <v>2297052</v>
      </c>
    </row>
    <row r="44" spans="1:14" ht="15.6" x14ac:dyDescent="0.3">
      <c r="A44" s="127" t="s">
        <v>43</v>
      </c>
      <c r="B44" s="128">
        <f>9323170</f>
        <v>9323170</v>
      </c>
      <c r="C44" s="128">
        <f>12381051.5325+10000000</f>
        <v>22381051.532499999</v>
      </c>
      <c r="D44" s="30"/>
      <c r="E44" s="30">
        <v>10273396</v>
      </c>
      <c r="F44" s="30"/>
      <c r="G44" s="59">
        <f t="shared" si="14"/>
        <v>41977617.532499999</v>
      </c>
      <c r="H44" s="74">
        <f t="shared" si="10"/>
        <v>5.2177792394742949E-4</v>
      </c>
      <c r="I44" s="134">
        <v>25977617.532499999</v>
      </c>
      <c r="J44" s="135">
        <v>37130692.700000003</v>
      </c>
      <c r="K44" s="96">
        <f t="shared" si="3"/>
        <v>16000000</v>
      </c>
      <c r="L44" s="136"/>
      <c r="N44" s="12">
        <f>814803*3</f>
        <v>2444409</v>
      </c>
    </row>
    <row r="45" spans="1:14" ht="15.6" x14ac:dyDescent="0.3">
      <c r="A45" s="127" t="s">
        <v>44</v>
      </c>
      <c r="B45" s="128">
        <f>2293058</f>
        <v>2293058</v>
      </c>
      <c r="C45" s="30">
        <f>1259815.6+3000000</f>
        <v>4259815.5999999996</v>
      </c>
      <c r="D45" s="30"/>
      <c r="E45" s="30"/>
      <c r="F45" s="30"/>
      <c r="G45" s="59">
        <f t="shared" si="14"/>
        <v>6552873.5999999996</v>
      </c>
      <c r="H45" s="74">
        <f t="shared" si="10"/>
        <v>8.1451615977270293E-5</v>
      </c>
      <c r="I45" s="134">
        <v>3552873.6</v>
      </c>
      <c r="J45" s="135">
        <v>25977617.532499999</v>
      </c>
      <c r="K45" s="96">
        <f t="shared" si="3"/>
        <v>2999999.9999999995</v>
      </c>
      <c r="L45" s="136"/>
      <c r="N45" s="12">
        <f>97567*3</f>
        <v>292701</v>
      </c>
    </row>
    <row r="46" spans="1:14" ht="15.6" x14ac:dyDescent="0.3">
      <c r="A46" s="127" t="s">
        <v>40</v>
      </c>
      <c r="B46" s="128">
        <f>8760364</f>
        <v>8760364</v>
      </c>
      <c r="C46" s="141">
        <f>8233521.1325+3000000</f>
        <v>11233521.1325</v>
      </c>
      <c r="D46" s="141"/>
      <c r="E46" s="30"/>
      <c r="F46" s="30"/>
      <c r="G46" s="59">
        <f t="shared" si="14"/>
        <v>19993885.1325</v>
      </c>
      <c r="H46" s="74">
        <f t="shared" si="10"/>
        <v>2.4852215274014198E-4</v>
      </c>
      <c r="I46" s="119">
        <v>16993885</v>
      </c>
      <c r="J46" s="135">
        <v>0</v>
      </c>
      <c r="K46" s="96">
        <f t="shared" si="3"/>
        <v>3000000.1325000003</v>
      </c>
      <c r="L46" s="136"/>
      <c r="N46" s="12">
        <f>784085*3</f>
        <v>2352255</v>
      </c>
    </row>
    <row r="47" spans="1:14" ht="16.2" thickBot="1" x14ac:dyDescent="0.35">
      <c r="A47" s="143" t="s">
        <v>41</v>
      </c>
      <c r="B47" s="144">
        <f>150750765</f>
        <v>150750765</v>
      </c>
      <c r="C47" s="145">
        <v>80534910.742500007</v>
      </c>
      <c r="D47" s="145">
        <v>50000000</v>
      </c>
      <c r="E47" s="146">
        <v>505984141</v>
      </c>
      <c r="F47" s="146"/>
      <c r="G47" s="60">
        <f t="shared" si="14"/>
        <v>787269816.74250007</v>
      </c>
      <c r="H47" s="74">
        <f t="shared" si="10"/>
        <v>9.7856913925222187E-3</v>
      </c>
      <c r="I47" s="134">
        <v>666269816.74250007</v>
      </c>
      <c r="J47" s="135">
        <v>3552873.6</v>
      </c>
      <c r="K47" s="96">
        <f t="shared" si="3"/>
        <v>121000000</v>
      </c>
      <c r="L47" s="136"/>
      <c r="N47" s="12">
        <f>14429045*3</f>
        <v>43287135</v>
      </c>
    </row>
    <row r="48" spans="1:14" ht="15.6" x14ac:dyDescent="0.3">
      <c r="A48" s="57" t="s">
        <v>45</v>
      </c>
      <c r="B48" s="58">
        <f>SUM(B49:B65)</f>
        <v>7861878633</v>
      </c>
      <c r="C48" s="58">
        <f t="shared" ref="C48:F48" si="15">SUM(C49:C65)</f>
        <v>3968173221.2849998</v>
      </c>
      <c r="D48" s="58">
        <f t="shared" si="15"/>
        <v>1556792214</v>
      </c>
      <c r="E48" s="58">
        <f t="shared" si="15"/>
        <v>0</v>
      </c>
      <c r="F48" s="58">
        <f t="shared" si="15"/>
        <v>40000000</v>
      </c>
      <c r="G48" s="14">
        <f t="shared" si="14"/>
        <v>13426844068.285</v>
      </c>
      <c r="H48" s="75">
        <f t="shared" si="10"/>
        <v>0.1668944364860997</v>
      </c>
      <c r="I48" s="118">
        <f>SUM(I49:I65)</f>
        <v>13331289589.287197</v>
      </c>
      <c r="J48" s="108">
        <f>SUM(J49:J65)</f>
        <v>17266497646.297501</v>
      </c>
      <c r="K48" s="96">
        <f t="shared" si="3"/>
        <v>95554478.997802734</v>
      </c>
      <c r="L48" s="15"/>
      <c r="N48" s="56">
        <f>SUM(N49:N65)</f>
        <v>5448375793</v>
      </c>
    </row>
    <row r="49" spans="1:14" ht="15.6" x14ac:dyDescent="0.3">
      <c r="A49" s="127" t="s">
        <v>56</v>
      </c>
      <c r="B49" s="128">
        <f>120666798</f>
        <v>120666798</v>
      </c>
      <c r="C49" s="128">
        <v>35089158.067500003</v>
      </c>
      <c r="D49" s="30"/>
      <c r="E49" s="30"/>
      <c r="F49" s="30"/>
      <c r="G49" s="59">
        <f t="shared" ref="G49:G65" si="16">SUM(B49:F49)</f>
        <v>155755956.0675</v>
      </c>
      <c r="H49" s="74">
        <f t="shared" si="10"/>
        <v>1.9360322042199308E-3</v>
      </c>
      <c r="I49" s="134">
        <v>145755956.0675</v>
      </c>
      <c r="J49" s="135">
        <v>3291912605.5</v>
      </c>
      <c r="K49" s="96">
        <f t="shared" si="3"/>
        <v>10000000</v>
      </c>
      <c r="L49" s="136"/>
      <c r="N49" s="12">
        <f>2463282*3</f>
        <v>7389846</v>
      </c>
    </row>
    <row r="50" spans="1:14" ht="15.6" x14ac:dyDescent="0.3">
      <c r="A50" s="127" t="s">
        <v>59</v>
      </c>
      <c r="B50" s="128">
        <f>8079402</f>
        <v>8079402</v>
      </c>
      <c r="C50" s="128">
        <f>16457268.95+20000000</f>
        <v>36457268.950000003</v>
      </c>
      <c r="D50" s="30"/>
      <c r="E50" s="30"/>
      <c r="F50" s="30"/>
      <c r="G50" s="59">
        <f t="shared" si="16"/>
        <v>44536670.950000003</v>
      </c>
      <c r="H50" s="74">
        <f t="shared" si="10"/>
        <v>5.5358672249155704E-4</v>
      </c>
      <c r="I50" s="134">
        <v>24536670.949999999</v>
      </c>
      <c r="J50" s="135">
        <v>165098605.15000001</v>
      </c>
      <c r="K50" s="96">
        <f t="shared" si="3"/>
        <v>20000000.000000004</v>
      </c>
      <c r="L50" s="136"/>
      <c r="N50" s="12">
        <f>344177*3</f>
        <v>1032531</v>
      </c>
    </row>
    <row r="51" spans="1:14" s="5" customFormat="1" ht="15.6" x14ac:dyDescent="0.3">
      <c r="A51" s="127" t="s">
        <v>47</v>
      </c>
      <c r="B51" s="128">
        <f>111077162</f>
        <v>111077162</v>
      </c>
      <c r="C51" s="128">
        <f>54021443.15+10000000</f>
        <v>64021443.149999999</v>
      </c>
      <c r="D51" s="30"/>
      <c r="E51" s="30"/>
      <c r="F51" s="30"/>
      <c r="G51" s="59">
        <f t="shared" si="16"/>
        <v>175098605.15000001</v>
      </c>
      <c r="H51" s="74">
        <f t="shared" si="10"/>
        <v>2.1764595527729216E-3</v>
      </c>
      <c r="I51" s="141">
        <v>165098605.15219554</v>
      </c>
      <c r="J51" s="135">
        <v>6670473611.5050001</v>
      </c>
      <c r="K51" s="96">
        <f t="shared" si="3"/>
        <v>9999999.9978044629</v>
      </c>
      <c r="L51" s="136"/>
      <c r="N51" s="12">
        <f>4193424*3</f>
        <v>12580272</v>
      </c>
    </row>
    <row r="52" spans="1:14" ht="15.6" x14ac:dyDescent="0.3">
      <c r="A52" s="127" t="s">
        <v>48</v>
      </c>
      <c r="B52" s="128">
        <f>6584384604</f>
        <v>6584384604</v>
      </c>
      <c r="C52" s="128">
        <v>1000089007.505</v>
      </c>
      <c r="D52" s="30"/>
      <c r="E52" s="30"/>
      <c r="F52" s="30"/>
      <c r="G52" s="59">
        <f t="shared" si="16"/>
        <v>7584473611.5050001</v>
      </c>
      <c r="H52" s="74">
        <f t="shared" si="10"/>
        <v>9.4274309212075386E-2</v>
      </c>
      <c r="I52" s="134">
        <v>6670473611.5050001</v>
      </c>
      <c r="J52" s="135">
        <v>54545569.049999997</v>
      </c>
      <c r="K52" s="96">
        <f t="shared" si="3"/>
        <v>914000000</v>
      </c>
      <c r="L52" s="136"/>
      <c r="N52" s="12">
        <f>2266603*3+483074550*11</f>
        <v>5320619859</v>
      </c>
    </row>
    <row r="53" spans="1:14" ht="15.6" x14ac:dyDescent="0.3">
      <c r="A53" s="127" t="s">
        <v>49</v>
      </c>
      <c r="B53" s="128">
        <f>33737031</f>
        <v>33737031</v>
      </c>
      <c r="C53" s="128">
        <f>25808538.05+5000000</f>
        <v>30808538.050000001</v>
      </c>
      <c r="D53" s="147"/>
      <c r="E53" s="30"/>
      <c r="F53" s="30"/>
      <c r="G53" s="59">
        <f t="shared" si="16"/>
        <v>64545569.049999997</v>
      </c>
      <c r="H53" s="74">
        <f t="shared" si="10"/>
        <v>8.0229548503651634E-4</v>
      </c>
      <c r="I53" s="134">
        <v>54545569.049999997</v>
      </c>
      <c r="J53" s="135">
        <v>2843477313.7375002</v>
      </c>
      <c r="K53" s="96">
        <f t="shared" si="3"/>
        <v>10000000</v>
      </c>
      <c r="L53" s="136"/>
      <c r="N53" s="12">
        <f>2448692*3</f>
        <v>7346076</v>
      </c>
    </row>
    <row r="54" spans="1:14" ht="15.6" x14ac:dyDescent="0.3">
      <c r="A54" s="127" t="s">
        <v>57</v>
      </c>
      <c r="B54" s="128">
        <f>16988478</f>
        <v>16988478</v>
      </c>
      <c r="C54" s="128">
        <f>16265687.55+3000000</f>
        <v>19265687.550000001</v>
      </c>
      <c r="D54" s="30"/>
      <c r="E54" s="30"/>
      <c r="F54" s="30"/>
      <c r="G54" s="59">
        <f t="shared" si="16"/>
        <v>36254165.549999997</v>
      </c>
      <c r="H54" s="74">
        <f t="shared" si="10"/>
        <v>4.5063594236809058E-4</v>
      </c>
      <c r="I54" s="134">
        <v>33254165.550000001</v>
      </c>
      <c r="J54" s="135">
        <v>6789443.5999999996</v>
      </c>
      <c r="K54" s="96">
        <f t="shared" si="3"/>
        <v>2999999.9999999963</v>
      </c>
      <c r="L54" s="136"/>
      <c r="N54" s="12">
        <f>1470519*3</f>
        <v>4411557</v>
      </c>
    </row>
    <row r="55" spans="1:14" ht="15.6" x14ac:dyDescent="0.3">
      <c r="A55" s="127" t="s">
        <v>55</v>
      </c>
      <c r="B55" s="128">
        <f>18685222</f>
        <v>18685222</v>
      </c>
      <c r="C55" s="128">
        <f>10625524.28+5000000</f>
        <v>15625524.279999999</v>
      </c>
      <c r="D55" s="30"/>
      <c r="E55" s="30"/>
      <c r="F55" s="30"/>
      <c r="G55" s="59">
        <f t="shared" si="16"/>
        <v>34310746.280000001</v>
      </c>
      <c r="H55" s="74">
        <f t="shared" si="10"/>
        <v>4.2647941963844927E-4</v>
      </c>
      <c r="I55" s="134">
        <v>29310746.279999997</v>
      </c>
      <c r="J55" s="135">
        <v>3795366.4874999998</v>
      </c>
      <c r="K55" s="96">
        <f t="shared" si="3"/>
        <v>5000000.0000000037</v>
      </c>
      <c r="L55" s="136"/>
      <c r="N55" s="12">
        <f>1199790*3</f>
        <v>3599370</v>
      </c>
    </row>
    <row r="56" spans="1:14" ht="15.6" x14ac:dyDescent="0.3">
      <c r="A56" s="127" t="s">
        <v>50</v>
      </c>
      <c r="B56" s="128">
        <f>811506894</f>
        <v>811506894</v>
      </c>
      <c r="C56" s="128">
        <v>175178205.73750001</v>
      </c>
      <c r="D56" s="133">
        <f>1856792214-300000000-100000000-200000000</f>
        <v>1256792214</v>
      </c>
      <c r="E56" s="30"/>
      <c r="F56" s="30"/>
      <c r="G56" s="59">
        <f t="shared" si="16"/>
        <v>2243477313.7375002</v>
      </c>
      <c r="H56" s="74">
        <f t="shared" si="10"/>
        <v>2.7886216607667332E-2</v>
      </c>
      <c r="I56" s="134">
        <v>2843477313.7375002</v>
      </c>
      <c r="J56" s="135">
        <v>5746505.8325000005</v>
      </c>
      <c r="K56" s="96">
        <f t="shared" si="3"/>
        <v>-600000000</v>
      </c>
      <c r="L56" s="136"/>
      <c r="N56" s="12">
        <f>8075815*3</f>
        <v>24227445</v>
      </c>
    </row>
    <row r="57" spans="1:14" ht="15.6" x14ac:dyDescent="0.3">
      <c r="A57" s="127" t="s">
        <v>60</v>
      </c>
      <c r="B57" s="128">
        <f>1633798</f>
        <v>1633798</v>
      </c>
      <c r="C57" s="128">
        <f>5523673.15+5000000</f>
        <v>10523673.15</v>
      </c>
      <c r="D57" s="30"/>
      <c r="E57" s="30"/>
      <c r="F57" s="30"/>
      <c r="G57" s="59">
        <f t="shared" si="16"/>
        <v>12157471.15</v>
      </c>
      <c r="H57" s="74">
        <f t="shared" si="10"/>
        <v>1.5111624789535734E-4</v>
      </c>
      <c r="I57" s="134">
        <v>7157471.1500000004</v>
      </c>
      <c r="J57" s="135">
        <v>3405711.75</v>
      </c>
      <c r="K57" s="96">
        <f t="shared" si="3"/>
        <v>5000000</v>
      </c>
      <c r="L57" s="136"/>
      <c r="N57" s="12">
        <f>63766*3</f>
        <v>191298</v>
      </c>
    </row>
    <row r="58" spans="1:14" ht="15.6" x14ac:dyDescent="0.3">
      <c r="A58" s="127" t="s">
        <v>46</v>
      </c>
      <c r="B58" s="128">
        <f>100189497</f>
        <v>100189497</v>
      </c>
      <c r="C58" s="128">
        <v>2500723108.5</v>
      </c>
      <c r="D58" s="30">
        <v>300000000</v>
      </c>
      <c r="E58" s="30"/>
      <c r="F58" s="30">
        <v>40000000</v>
      </c>
      <c r="G58" s="59">
        <f t="shared" si="16"/>
        <v>2940912605.5</v>
      </c>
      <c r="H58" s="74">
        <f t="shared" si="10"/>
        <v>3.6555273119551618E-2</v>
      </c>
      <c r="I58" s="134">
        <v>3291912605.5</v>
      </c>
      <c r="J58" s="135">
        <v>29310746.279999997</v>
      </c>
      <c r="K58" s="96">
        <f t="shared" si="3"/>
        <v>-351000000</v>
      </c>
      <c r="L58" s="136"/>
      <c r="N58" s="12">
        <f>9197593*3</f>
        <v>27592779</v>
      </c>
    </row>
    <row r="59" spans="1:14" ht="15.6" x14ac:dyDescent="0.3">
      <c r="A59" s="127" t="s">
        <v>61</v>
      </c>
      <c r="B59" s="128">
        <f>10672307*3</f>
        <v>32016921</v>
      </c>
      <c r="C59" s="30">
        <f>7241506.575+20000000</f>
        <v>27241506.574999999</v>
      </c>
      <c r="D59" s="30"/>
      <c r="E59" s="30"/>
      <c r="F59" s="30"/>
      <c r="G59" s="59">
        <f t="shared" si="16"/>
        <v>59258427.575000003</v>
      </c>
      <c r="H59" s="74">
        <f t="shared" si="10"/>
        <v>7.3657680292441247E-4</v>
      </c>
      <c r="I59" s="134">
        <v>12913813.574999999</v>
      </c>
      <c r="J59" s="135">
        <v>145755956.0675</v>
      </c>
      <c r="K59" s="96">
        <f t="shared" si="3"/>
        <v>46344614</v>
      </c>
      <c r="L59" s="136"/>
      <c r="N59" s="12">
        <f>10672307*3</f>
        <v>32016921</v>
      </c>
    </row>
    <row r="60" spans="1:14" ht="15.6" x14ac:dyDescent="0.3">
      <c r="A60" s="127" t="s">
        <v>58</v>
      </c>
      <c r="B60" s="128">
        <f>8276954</f>
        <v>8276954</v>
      </c>
      <c r="C60" s="30">
        <f>24839079.1+5000000</f>
        <v>29839079.100000001</v>
      </c>
      <c r="D60" s="30"/>
      <c r="E60" s="30"/>
      <c r="F60" s="30"/>
      <c r="G60" s="59">
        <f t="shared" si="16"/>
        <v>38116033.100000001</v>
      </c>
      <c r="H60" s="74">
        <f t="shared" si="10"/>
        <v>4.7377878472096941E-4</v>
      </c>
      <c r="I60" s="134">
        <v>33116033.100000001</v>
      </c>
      <c r="J60" s="135">
        <v>33254165.550000001</v>
      </c>
      <c r="K60" s="96">
        <f t="shared" si="3"/>
        <v>5000000</v>
      </c>
      <c r="L60" s="136"/>
      <c r="N60" s="12">
        <f>1000574*3</f>
        <v>3001722</v>
      </c>
    </row>
    <row r="61" spans="1:14" ht="15.6" x14ac:dyDescent="0.3">
      <c r="A61" s="127" t="s">
        <v>94</v>
      </c>
      <c r="B61" s="128">
        <v>2500000</v>
      </c>
      <c r="C61" s="30">
        <v>3000000</v>
      </c>
      <c r="D61" s="30"/>
      <c r="E61" s="30"/>
      <c r="F61" s="30"/>
      <c r="G61" s="59">
        <f t="shared" si="16"/>
        <v>5500000</v>
      </c>
      <c r="H61" s="74">
        <f t="shared" si="10"/>
        <v>6.836449399466314E-5</v>
      </c>
      <c r="I61" s="117"/>
      <c r="J61" s="135">
        <v>33116033.100000001</v>
      </c>
      <c r="K61" s="96">
        <f t="shared" si="3"/>
        <v>5500000</v>
      </c>
      <c r="L61" s="136"/>
      <c r="N61" s="12">
        <v>2500000</v>
      </c>
    </row>
    <row r="62" spans="1:14" ht="15.6" x14ac:dyDescent="0.3">
      <c r="A62" s="127" t="s">
        <v>51</v>
      </c>
      <c r="B62" s="128">
        <f>4349573</f>
        <v>4349573</v>
      </c>
      <c r="C62" s="30">
        <f>2439870.6+5000000</f>
        <v>7439870.5999999996</v>
      </c>
      <c r="D62" s="30"/>
      <c r="E62" s="30"/>
      <c r="F62" s="30"/>
      <c r="G62" s="59">
        <f t="shared" si="16"/>
        <v>11789443.6</v>
      </c>
      <c r="H62" s="74">
        <f t="shared" si="10"/>
        <v>1.4654169930774906E-4</v>
      </c>
      <c r="I62" s="134">
        <v>6789443.5999999996</v>
      </c>
      <c r="J62" s="135">
        <v>24536670.949999999</v>
      </c>
      <c r="K62" s="96">
        <f t="shared" si="3"/>
        <v>5000000</v>
      </c>
      <c r="L62" s="136"/>
      <c r="N62" s="12">
        <f>173541*3</f>
        <v>520623</v>
      </c>
    </row>
    <row r="63" spans="1:14" ht="15.6" x14ac:dyDescent="0.3">
      <c r="A63" s="127" t="s">
        <v>53</v>
      </c>
      <c r="B63" s="128">
        <f>3028815</f>
        <v>3028815</v>
      </c>
      <c r="C63" s="30">
        <f>1427555.8325+3000000</f>
        <v>4427555.8324999996</v>
      </c>
      <c r="D63" s="30"/>
      <c r="E63" s="30"/>
      <c r="F63" s="30"/>
      <c r="G63" s="59">
        <f t="shared" si="16"/>
        <v>7456370.8324999996</v>
      </c>
      <c r="H63" s="74">
        <f t="shared" si="10"/>
        <v>9.2682003454623202E-5</v>
      </c>
      <c r="I63" s="134">
        <v>5746505.8325000005</v>
      </c>
      <c r="J63" s="135">
        <v>7157471.1500000004</v>
      </c>
      <c r="K63" s="96">
        <f t="shared" si="3"/>
        <v>1709864.9999999991</v>
      </c>
      <c r="L63" s="136"/>
      <c r="N63" s="12">
        <f>149625*3</f>
        <v>448875</v>
      </c>
    </row>
    <row r="64" spans="1:14" ht="15.6" x14ac:dyDescent="0.3">
      <c r="A64" s="127" t="s">
        <v>52</v>
      </c>
      <c r="B64" s="128">
        <f>2844725</f>
        <v>2844725</v>
      </c>
      <c r="C64" s="30">
        <f>950641.4875+3000000</f>
        <v>3950641.4874999998</v>
      </c>
      <c r="D64" s="30"/>
      <c r="E64" s="30"/>
      <c r="F64" s="30"/>
      <c r="G64" s="59">
        <f t="shared" si="16"/>
        <v>6795366.4874999998</v>
      </c>
      <c r="H64" s="74">
        <f t="shared" ref="H64:H95" si="17">G64/$G$100</f>
        <v>8.4465780259314352E-5</v>
      </c>
      <c r="I64" s="134">
        <v>3795366.4874999998</v>
      </c>
      <c r="J64" s="135">
        <v>12913813.574999999</v>
      </c>
      <c r="K64" s="96">
        <f t="shared" si="3"/>
        <v>3000000</v>
      </c>
      <c r="L64" s="136"/>
      <c r="N64" s="12">
        <f>189359*3</f>
        <v>568077</v>
      </c>
    </row>
    <row r="65" spans="1:14" ht="16.2" thickBot="1" x14ac:dyDescent="0.35">
      <c r="A65" s="143" t="s">
        <v>54</v>
      </c>
      <c r="B65" s="144">
        <f>1912759</f>
        <v>1912759</v>
      </c>
      <c r="C65" s="146">
        <f>1492952.75+3000000</f>
        <v>4492952.75</v>
      </c>
      <c r="D65" s="146"/>
      <c r="E65" s="146"/>
      <c r="F65" s="146"/>
      <c r="G65" s="60">
        <f t="shared" si="16"/>
        <v>6405711.75</v>
      </c>
      <c r="H65" s="74">
        <f t="shared" si="17"/>
        <v>7.9622407720803291E-5</v>
      </c>
      <c r="I65" s="134">
        <v>3405711.75</v>
      </c>
      <c r="J65" s="138">
        <v>3935208057.0124998</v>
      </c>
      <c r="K65" s="96">
        <f t="shared" si="3"/>
        <v>3000000</v>
      </c>
      <c r="L65" s="136"/>
      <c r="N65" s="12">
        <f>109514*3</f>
        <v>328542</v>
      </c>
    </row>
    <row r="66" spans="1:14" ht="15.6" x14ac:dyDescent="0.3">
      <c r="A66" s="57" t="s">
        <v>62</v>
      </c>
      <c r="B66" s="58">
        <f>SUM(B67:B76)</f>
        <v>1701804747</v>
      </c>
      <c r="C66" s="58">
        <f t="shared" ref="C66:F66" si="18">SUM(C67:C76)</f>
        <v>775345063.86250007</v>
      </c>
      <c r="D66" s="58">
        <f t="shared" si="18"/>
        <v>260000000</v>
      </c>
      <c r="E66" s="58">
        <f t="shared" si="18"/>
        <v>1921442491</v>
      </c>
      <c r="F66" s="58">
        <f t="shared" si="18"/>
        <v>0</v>
      </c>
      <c r="G66" s="58">
        <f>SUM(B66:F66)</f>
        <v>4658592301.8625002</v>
      </c>
      <c r="H66" s="73">
        <f t="shared" si="17"/>
        <v>5.7905873717138699E-2</v>
      </c>
      <c r="I66" s="116">
        <f>SUM(I67:I76)</f>
        <v>3935208057.0124998</v>
      </c>
      <c r="J66" s="110">
        <f>SUM(J67:J76)</f>
        <v>3870084419.0124998</v>
      </c>
      <c r="K66" s="96">
        <f t="shared" si="3"/>
        <v>723384244.85000038</v>
      </c>
      <c r="L66" s="15"/>
      <c r="N66" s="56">
        <f>SUM(N67:N76)</f>
        <v>1014104740</v>
      </c>
    </row>
    <row r="67" spans="1:14" ht="15.6" x14ac:dyDescent="0.3">
      <c r="A67" s="127" t="s">
        <v>70</v>
      </c>
      <c r="B67" s="141">
        <f>3337664</f>
        <v>3337664</v>
      </c>
      <c r="C67" s="30">
        <f>776137.5075+3000000</f>
        <v>3776137.5074999998</v>
      </c>
      <c r="D67" s="30"/>
      <c r="E67" s="30"/>
      <c r="F67" s="30"/>
      <c r="G67" s="59">
        <f t="shared" ref="G67:G76" si="19">SUM(B67:F67)</f>
        <v>7113801.5075000003</v>
      </c>
      <c r="H67" s="74">
        <f t="shared" si="17"/>
        <v>8.8423898261583527E-5</v>
      </c>
      <c r="I67" s="134">
        <v>4113801.5074999994</v>
      </c>
      <c r="J67" s="135">
        <v>404561700.60000002</v>
      </c>
      <c r="K67" s="96">
        <f t="shared" si="3"/>
        <v>3000000.0000000009</v>
      </c>
      <c r="L67" s="136"/>
      <c r="N67" s="12">
        <f>191090*3</f>
        <v>573270</v>
      </c>
    </row>
    <row r="68" spans="1:14" ht="15.6" x14ac:dyDescent="0.3">
      <c r="A68" s="127" t="s">
        <v>72</v>
      </c>
      <c r="B68" s="141">
        <f>8817577</f>
        <v>8817577</v>
      </c>
      <c r="C68" s="30">
        <f>6640952.25+2000000</f>
        <v>8640952.25</v>
      </c>
      <c r="D68" s="30"/>
      <c r="E68" s="30"/>
      <c r="F68" s="30"/>
      <c r="G68" s="59">
        <f t="shared" si="19"/>
        <v>17458529.25</v>
      </c>
      <c r="H68" s="74">
        <f t="shared" si="17"/>
        <v>2.1700791237586834E-4</v>
      </c>
      <c r="I68" s="134">
        <v>15458529.25</v>
      </c>
      <c r="J68" s="135">
        <v>2147100264</v>
      </c>
      <c r="K68" s="96">
        <f t="shared" ref="K68:K97" si="20">G68-I68</f>
        <v>2000000</v>
      </c>
      <c r="L68" s="136"/>
      <c r="N68" s="12">
        <f>490398*3</f>
        <v>1471194</v>
      </c>
    </row>
    <row r="69" spans="1:14" ht="15.6" x14ac:dyDescent="0.3">
      <c r="A69" s="127" t="s">
        <v>67</v>
      </c>
      <c r="B69" s="141">
        <f>48281896</f>
        <v>48281896</v>
      </c>
      <c r="C69" s="30">
        <f>14102308.35+5000000</f>
        <v>19102308.350000001</v>
      </c>
      <c r="D69" s="30">
        <v>60000000</v>
      </c>
      <c r="E69" s="133">
        <v>160276190</v>
      </c>
      <c r="F69" s="30"/>
      <c r="G69" s="59">
        <f t="shared" si="19"/>
        <v>287660394.35000002</v>
      </c>
      <c r="H69" s="74">
        <f t="shared" si="17"/>
        <v>3.5755922367350923E-3</v>
      </c>
      <c r="I69" s="134">
        <v>282660394.35000002</v>
      </c>
      <c r="J69" s="135">
        <v>811345726.14999998</v>
      </c>
      <c r="K69" s="96">
        <f t="shared" si="20"/>
        <v>5000000</v>
      </c>
      <c r="L69" s="136"/>
      <c r="N69" s="12">
        <f>6653639*3</f>
        <v>19960917</v>
      </c>
    </row>
    <row r="70" spans="1:14" ht="15.6" x14ac:dyDescent="0.3">
      <c r="A70" s="127" t="s">
        <v>68</v>
      </c>
      <c r="B70" s="141">
        <f>130197248</f>
        <v>130197248</v>
      </c>
      <c r="C70" s="30">
        <f>58342769.71+10000000</f>
        <v>68342769.710000008</v>
      </c>
      <c r="D70" s="30"/>
      <c r="E70" s="30"/>
      <c r="F70" s="30"/>
      <c r="G70" s="59">
        <f t="shared" si="19"/>
        <v>198540017.71000001</v>
      </c>
      <c r="H70" s="74">
        <f t="shared" si="17"/>
        <v>2.4678341542610201E-3</v>
      </c>
      <c r="I70" s="134">
        <v>184540017.70999998</v>
      </c>
      <c r="J70" s="135">
        <v>282660394.35000002</v>
      </c>
      <c r="K70" s="96">
        <f t="shared" si="20"/>
        <v>14000000.00000003</v>
      </c>
      <c r="L70" s="136"/>
      <c r="N70" s="12">
        <f>8835823*3</f>
        <v>26507469</v>
      </c>
    </row>
    <row r="71" spans="1:14" ht="15.6" x14ac:dyDescent="0.3">
      <c r="A71" s="127" t="s">
        <v>64</v>
      </c>
      <c r="B71" s="141">
        <f>317127916</f>
        <v>317127916</v>
      </c>
      <c r="C71" s="128">
        <v>107433784.59999999</v>
      </c>
      <c r="D71" s="30">
        <v>50000000</v>
      </c>
      <c r="E71" s="30"/>
      <c r="F71" s="30"/>
      <c r="G71" s="59">
        <f t="shared" si="19"/>
        <v>474561700.60000002</v>
      </c>
      <c r="H71" s="74">
        <f t="shared" si="17"/>
        <v>5.8987582783210602E-3</v>
      </c>
      <c r="I71" s="134">
        <v>404561700.60000002</v>
      </c>
      <c r="J71" s="135">
        <v>184540017.70999998</v>
      </c>
      <c r="K71" s="96">
        <f t="shared" si="20"/>
        <v>70000000</v>
      </c>
      <c r="L71" s="136"/>
      <c r="N71" s="12">
        <f>148623*3+7752087*3+55734125*11</f>
        <v>636777505</v>
      </c>
    </row>
    <row r="72" spans="1:14" ht="15.6" x14ac:dyDescent="0.3">
      <c r="A72" s="127" t="s">
        <v>63</v>
      </c>
      <c r="B72" s="141">
        <f>47321138</f>
        <v>47321138</v>
      </c>
      <c r="C72" s="128">
        <f>21802500+20000000+50000000</f>
        <v>91802500</v>
      </c>
      <c r="D72" s="30"/>
      <c r="E72" s="30"/>
      <c r="F72" s="30"/>
      <c r="G72" s="59">
        <f t="shared" si="19"/>
        <v>139123638</v>
      </c>
      <c r="H72" s="74">
        <f t="shared" si="17"/>
        <v>1.729294020830307E-3</v>
      </c>
      <c r="I72" s="119">
        <v>65123638</v>
      </c>
      <c r="J72" s="135">
        <v>9409138.0950000007</v>
      </c>
      <c r="K72" s="96">
        <f t="shared" si="20"/>
        <v>74000000</v>
      </c>
      <c r="L72" s="136"/>
      <c r="N72" s="12">
        <f>3697530*3</f>
        <v>11092590</v>
      </c>
    </row>
    <row r="73" spans="1:14" ht="15.6" x14ac:dyDescent="0.3">
      <c r="A73" s="127" t="s">
        <v>65</v>
      </c>
      <c r="B73" s="141">
        <f>1036768527</f>
        <v>1036768527</v>
      </c>
      <c r="C73" s="128">
        <f>75919052+282733200</f>
        <v>358652252</v>
      </c>
      <c r="D73" s="30">
        <v>100000000</v>
      </c>
      <c r="E73" s="133">
        <v>1054412685</v>
      </c>
      <c r="F73" s="30"/>
      <c r="G73" s="59">
        <f t="shared" si="19"/>
        <v>2549833464</v>
      </c>
      <c r="H73" s="74">
        <f t="shared" si="17"/>
        <v>3.1694195370367113E-2</v>
      </c>
      <c r="I73" s="134">
        <v>2147100264</v>
      </c>
      <c r="J73" s="135">
        <v>4113801.5074999994</v>
      </c>
      <c r="K73" s="96">
        <f t="shared" si="20"/>
        <v>402733200</v>
      </c>
      <c r="L73" s="136"/>
      <c r="N73" s="12">
        <f>94283361*3</f>
        <v>282850083</v>
      </c>
    </row>
    <row r="74" spans="1:14" ht="15.6" x14ac:dyDescent="0.3">
      <c r="A74" s="127" t="s">
        <v>66</v>
      </c>
      <c r="B74" s="141">
        <f>98243155</f>
        <v>98243155</v>
      </c>
      <c r="C74" s="128">
        <v>100000000</v>
      </c>
      <c r="D74" s="30">
        <v>50000000</v>
      </c>
      <c r="E74" s="133">
        <v>706753616</v>
      </c>
      <c r="F74" s="30"/>
      <c r="G74" s="59">
        <f t="shared" si="19"/>
        <v>954996771</v>
      </c>
      <c r="H74" s="74">
        <f t="shared" si="17"/>
        <v>1.1870522002900398E-2</v>
      </c>
      <c r="I74" s="134">
        <v>811345726.14999998</v>
      </c>
      <c r="J74" s="135">
        <v>10894847.35</v>
      </c>
      <c r="K74" s="96">
        <f t="shared" si="20"/>
        <v>143651044.85000002</v>
      </c>
      <c r="L74" s="136"/>
      <c r="N74" s="12">
        <f>11111932*3</f>
        <v>33335796</v>
      </c>
    </row>
    <row r="75" spans="1:14" ht="15.6" x14ac:dyDescent="0.3">
      <c r="A75" s="127" t="s">
        <v>71</v>
      </c>
      <c r="B75" s="141">
        <f>6910276</f>
        <v>6910276</v>
      </c>
      <c r="C75" s="30">
        <f>3984571.35+3000000</f>
        <v>6984571.3499999996</v>
      </c>
      <c r="D75" s="30"/>
      <c r="E75" s="148"/>
      <c r="F75" s="30"/>
      <c r="G75" s="59">
        <f t="shared" si="19"/>
        <v>13894847.35</v>
      </c>
      <c r="H75" s="74">
        <f t="shared" si="17"/>
        <v>1.727116742210611E-4</v>
      </c>
      <c r="I75" s="134">
        <v>10894847.35</v>
      </c>
      <c r="J75" s="135">
        <v>15458529.25</v>
      </c>
      <c r="K75" s="96">
        <f t="shared" si="20"/>
        <v>3000000</v>
      </c>
      <c r="L75" s="136"/>
      <c r="N75" s="12">
        <f>396674*3</f>
        <v>1190022</v>
      </c>
    </row>
    <row r="76" spans="1:14" ht="15.6" x14ac:dyDescent="0.3">
      <c r="A76" s="127" t="s">
        <v>69</v>
      </c>
      <c r="B76" s="141">
        <f>4799350</f>
        <v>4799350</v>
      </c>
      <c r="C76" s="30">
        <v>10609788.095000001</v>
      </c>
      <c r="D76" s="30"/>
      <c r="E76" s="30"/>
      <c r="F76" s="30"/>
      <c r="G76" s="59">
        <f t="shared" si="19"/>
        <v>15409138.095000001</v>
      </c>
      <c r="H76" s="74">
        <f t="shared" si="17"/>
        <v>1.9153416886519319E-4</v>
      </c>
      <c r="I76" s="134">
        <v>9409138.0950000007</v>
      </c>
      <c r="J76" s="149">
        <v>0</v>
      </c>
      <c r="K76" s="96">
        <f t="shared" si="20"/>
        <v>6000000</v>
      </c>
      <c r="L76" s="136"/>
      <c r="N76" s="12">
        <f>115298*3</f>
        <v>345894</v>
      </c>
    </row>
    <row r="77" spans="1:14" ht="15.6" x14ac:dyDescent="0.3">
      <c r="A77" s="27" t="s">
        <v>73</v>
      </c>
      <c r="B77" s="14">
        <f>SUM(B78:B82)</f>
        <v>11099656005</v>
      </c>
      <c r="C77" s="14">
        <f t="shared" ref="C77:F77" si="21">SUM(C78:C82)</f>
        <v>2631176172.1525002</v>
      </c>
      <c r="D77" s="14">
        <f t="shared" si="21"/>
        <v>2200000000</v>
      </c>
      <c r="E77" s="14">
        <f t="shared" si="21"/>
        <v>0</v>
      </c>
      <c r="F77" s="14">
        <f t="shared" si="21"/>
        <v>0</v>
      </c>
      <c r="G77" s="14">
        <f>SUM(B77:F77)</f>
        <v>15930832177.1525</v>
      </c>
      <c r="H77" s="73">
        <f t="shared" si="17"/>
        <v>0.19801877830998699</v>
      </c>
      <c r="I77" s="115">
        <f>SUM(I78:I82)</f>
        <v>12704832177.4025</v>
      </c>
      <c r="J77" s="108">
        <f>SUM(J79:J82)</f>
        <v>2956015380.2474999</v>
      </c>
      <c r="K77" s="96">
        <f t="shared" si="20"/>
        <v>3225999999.75</v>
      </c>
      <c r="L77" s="15"/>
      <c r="N77" s="56">
        <f>SUM(N78:N82)</f>
        <v>6348911684</v>
      </c>
    </row>
    <row r="78" spans="1:14" ht="15.6" x14ac:dyDescent="0.3">
      <c r="A78" s="127" t="s">
        <v>74</v>
      </c>
      <c r="B78" s="128">
        <f>6611986661</f>
        <v>6611986661</v>
      </c>
      <c r="C78" s="128">
        <v>1500015392.75</v>
      </c>
      <c r="D78" s="30">
        <v>1000000000</v>
      </c>
      <c r="E78" s="30"/>
      <c r="F78" s="30"/>
      <c r="G78" s="59">
        <f t="shared" ref="G78:G82" si="22">SUM(B78:F78)</f>
        <v>9112002053.75</v>
      </c>
      <c r="H78" s="74">
        <f t="shared" si="17"/>
        <v>0.11326134721508184</v>
      </c>
      <c r="I78" s="119">
        <v>8029002054</v>
      </c>
      <c r="J78" s="135">
        <v>1887486289.8</v>
      </c>
      <c r="K78" s="96">
        <f t="shared" si="20"/>
        <v>1082999999.75</v>
      </c>
      <c r="L78" s="136"/>
      <c r="N78" s="12">
        <f>569615179*3+95576225*11</f>
        <v>2760184012</v>
      </c>
    </row>
    <row r="79" spans="1:14" ht="15.6" x14ac:dyDescent="0.3">
      <c r="A79" s="127" t="s">
        <v>77</v>
      </c>
      <c r="B79" s="128">
        <f>16995302</f>
        <v>16995302</v>
      </c>
      <c r="C79" s="30">
        <f>9350855.6525+3000000</f>
        <v>12350855.6525</v>
      </c>
      <c r="D79" s="30"/>
      <c r="E79" s="30"/>
      <c r="F79" s="30"/>
      <c r="G79" s="59">
        <f t="shared" si="22"/>
        <v>29346157.6525</v>
      </c>
      <c r="H79" s="74">
        <f t="shared" si="17"/>
        <v>3.6477003974559526E-4</v>
      </c>
      <c r="I79" s="134">
        <v>26346157.652499996</v>
      </c>
      <c r="J79" s="135">
        <v>6052024.75</v>
      </c>
      <c r="K79" s="96">
        <f t="shared" si="20"/>
        <v>3000000.0000000037</v>
      </c>
      <c r="L79" s="136"/>
      <c r="N79" s="12">
        <f>663350*3</f>
        <v>1990050</v>
      </c>
    </row>
    <row r="80" spans="1:14" ht="15.6" x14ac:dyDescent="0.3">
      <c r="A80" s="127" t="s">
        <v>76</v>
      </c>
      <c r="B80" s="128">
        <f>7068724</f>
        <v>7068724</v>
      </c>
      <c r="C80" s="30">
        <f>1983300.75+3000000</f>
        <v>4983300.75</v>
      </c>
      <c r="D80" s="30"/>
      <c r="E80" s="30"/>
      <c r="F80" s="30"/>
      <c r="G80" s="59">
        <f t="shared" si="22"/>
        <v>12052024.75</v>
      </c>
      <c r="H80" s="74">
        <f t="shared" si="17"/>
        <v>1.4980555884452847E-4</v>
      </c>
      <c r="I80" s="134">
        <v>6052024.75</v>
      </c>
      <c r="J80" s="135">
        <v>26346157.652499996</v>
      </c>
      <c r="K80" s="96">
        <f t="shared" si="20"/>
        <v>6000000</v>
      </c>
      <c r="L80" s="136"/>
      <c r="N80" s="12">
        <f>292498*3</f>
        <v>877494</v>
      </c>
    </row>
    <row r="81" spans="1:22" ht="15.6" x14ac:dyDescent="0.3">
      <c r="A81" s="127" t="s">
        <v>78</v>
      </c>
      <c r="B81" s="128">
        <f>2679002995</f>
        <v>2679002995</v>
      </c>
      <c r="C81" s="128">
        <v>1000942656.2</v>
      </c>
      <c r="D81" s="30">
        <v>1200000000</v>
      </c>
      <c r="E81" s="30"/>
      <c r="F81" s="30"/>
      <c r="G81" s="59">
        <f t="shared" si="22"/>
        <v>4879945651.1999998</v>
      </c>
      <c r="H81" s="74">
        <f t="shared" si="17"/>
        <v>6.0657275484680889E-2</v>
      </c>
      <c r="I81" s="134">
        <v>2755945651.1999998</v>
      </c>
      <c r="J81" s="135">
        <v>2755945651.1999998</v>
      </c>
      <c r="K81" s="96">
        <f t="shared" si="20"/>
        <v>2124000000</v>
      </c>
      <c r="L81" s="136"/>
      <c r="N81" s="12">
        <f>39499871*3+269527640*11</f>
        <v>3083303653</v>
      </c>
    </row>
    <row r="82" spans="1:22" ht="15.6" x14ac:dyDescent="0.3">
      <c r="A82" s="127" t="s">
        <v>75</v>
      </c>
      <c r="B82" s="128">
        <f>1784602323</f>
        <v>1784602323</v>
      </c>
      <c r="C82" s="30">
        <f>102883966.8+10000000</f>
        <v>112883966.8</v>
      </c>
      <c r="D82" s="30"/>
      <c r="E82" s="30"/>
      <c r="F82" s="30"/>
      <c r="G82" s="59">
        <f t="shared" si="22"/>
        <v>1897486289.8</v>
      </c>
      <c r="H82" s="74">
        <f t="shared" si="17"/>
        <v>2.3585580011634136E-2</v>
      </c>
      <c r="I82" s="134">
        <v>1887486289.8</v>
      </c>
      <c r="J82" s="138">
        <v>167671546.64500001</v>
      </c>
      <c r="K82" s="96">
        <f t="shared" si="20"/>
        <v>10000000</v>
      </c>
      <c r="L82" s="136"/>
      <c r="N82" s="12">
        <f>167518825*3</f>
        <v>502556475</v>
      </c>
    </row>
    <row r="83" spans="1:22" ht="15.6" x14ac:dyDescent="0.3">
      <c r="A83" s="27" t="s">
        <v>79</v>
      </c>
      <c r="B83" s="14">
        <f>SUM(B84:B89)</f>
        <v>88665361</v>
      </c>
      <c r="C83" s="14">
        <f>SUM(C84:C89)</f>
        <v>156006185.64500001</v>
      </c>
      <c r="D83" s="14">
        <f>SUM(D84:D89)</f>
        <v>0</v>
      </c>
      <c r="E83" s="14">
        <f>SUM(E84:E89)</f>
        <v>0</v>
      </c>
      <c r="F83" s="14">
        <f>SUM(F84:F89)</f>
        <v>0</v>
      </c>
      <c r="G83" s="14">
        <f>SUM(B83:F83)</f>
        <v>244671546.64500001</v>
      </c>
      <c r="H83" s="73">
        <f t="shared" si="17"/>
        <v>3.0412448147776449E-3</v>
      </c>
      <c r="I83" s="116">
        <f>SUM(I84:I89)</f>
        <v>167671546.19499999</v>
      </c>
      <c r="J83" s="108">
        <f>SUM(J84:J90)</f>
        <v>5726416699.1949997</v>
      </c>
      <c r="K83" s="96">
        <f t="shared" si="20"/>
        <v>77000000.450000018</v>
      </c>
      <c r="L83" s="15"/>
      <c r="N83" s="56">
        <f>SUM(N84:N89)</f>
        <v>340101225</v>
      </c>
    </row>
    <row r="84" spans="1:22" ht="15.6" x14ac:dyDescent="0.3">
      <c r="A84" s="127" t="s">
        <v>81</v>
      </c>
      <c r="B84" s="128">
        <f>15594170</f>
        <v>15594170</v>
      </c>
      <c r="C84" s="128">
        <f>26649089.45+10000000</f>
        <v>36649089.450000003</v>
      </c>
      <c r="D84" s="30"/>
      <c r="E84" s="30"/>
      <c r="F84" s="30"/>
      <c r="G84" s="59">
        <f t="shared" ref="G84:G89" si="23">SUM(B84:F84)</f>
        <v>52243259.450000003</v>
      </c>
      <c r="H84" s="74">
        <f t="shared" si="17"/>
        <v>6.4937890853293708E-4</v>
      </c>
      <c r="I84" s="134">
        <v>39243259.450000003</v>
      </c>
      <c r="J84" s="135">
        <v>39243259.450000003</v>
      </c>
      <c r="K84" s="96">
        <f t="shared" si="20"/>
        <v>13000000</v>
      </c>
      <c r="L84" s="136"/>
      <c r="N84" s="12">
        <f>844350*3</f>
        <v>2533050</v>
      </c>
    </row>
    <row r="85" spans="1:22" ht="15.6" x14ac:dyDescent="0.3">
      <c r="A85" s="127" t="s">
        <v>80</v>
      </c>
      <c r="B85" s="128">
        <f>17554753</f>
        <v>17554753</v>
      </c>
      <c r="C85" s="30">
        <f>15034287.45+10000000</f>
        <v>25034287.449999999</v>
      </c>
      <c r="D85" s="30"/>
      <c r="E85" s="30"/>
      <c r="F85" s="30"/>
      <c r="G85" s="59">
        <f t="shared" si="23"/>
        <v>42589040.450000003</v>
      </c>
      <c r="H85" s="74">
        <f t="shared" si="17"/>
        <v>5.2937785456045293E-4</v>
      </c>
      <c r="I85" s="119">
        <v>28589040</v>
      </c>
      <c r="J85" s="135">
        <v>30025472.149999999</v>
      </c>
      <c r="K85" s="96">
        <f t="shared" si="20"/>
        <v>14000000.450000003</v>
      </c>
      <c r="L85" s="136"/>
      <c r="N85" s="12">
        <f>765142*3</f>
        <v>2295426</v>
      </c>
    </row>
    <row r="86" spans="1:22" ht="15.6" x14ac:dyDescent="0.3">
      <c r="A86" s="127" t="s">
        <v>82</v>
      </c>
      <c r="B86" s="128">
        <f>16149397</f>
        <v>16149397</v>
      </c>
      <c r="C86" s="128">
        <f>27876075.15+10000000</f>
        <v>37876075.149999999</v>
      </c>
      <c r="D86" s="30"/>
      <c r="E86" s="30"/>
      <c r="F86" s="30"/>
      <c r="G86" s="59">
        <f t="shared" si="23"/>
        <v>54025472.149999999</v>
      </c>
      <c r="H86" s="74">
        <f t="shared" si="17"/>
        <v>6.7153164842863918E-4</v>
      </c>
      <c r="I86" s="134">
        <v>30025472.149999999</v>
      </c>
      <c r="J86" s="135">
        <v>39767037.25</v>
      </c>
      <c r="K86" s="96">
        <f t="shared" si="20"/>
        <v>24000000</v>
      </c>
      <c r="L86" s="136"/>
      <c r="N86" s="12">
        <f>321921*3+14880000*11</f>
        <v>164645763</v>
      </c>
    </row>
    <row r="87" spans="1:22" ht="15.6" x14ac:dyDescent="0.3">
      <c r="A87" s="127" t="s">
        <v>84</v>
      </c>
      <c r="B87" s="128">
        <f>7130693</f>
        <v>7130693</v>
      </c>
      <c r="C87" s="30">
        <f>7196428.695+3000000</f>
        <v>10196428.695</v>
      </c>
      <c r="D87" s="30"/>
      <c r="E87" s="30"/>
      <c r="F87" s="30"/>
      <c r="G87" s="59">
        <f t="shared" si="23"/>
        <v>17327121.695</v>
      </c>
      <c r="H87" s="74">
        <f t="shared" si="17"/>
        <v>2.153745285568409E-4</v>
      </c>
      <c r="I87" s="134">
        <v>14327121.695</v>
      </c>
      <c r="J87" s="135">
        <v>14327121.695</v>
      </c>
      <c r="K87" s="96">
        <f t="shared" si="20"/>
        <v>3000000</v>
      </c>
      <c r="L87" s="136"/>
      <c r="N87" s="12">
        <f>305115*3</f>
        <v>915345</v>
      </c>
    </row>
    <row r="88" spans="1:22" ht="15.6" x14ac:dyDescent="0.3">
      <c r="A88" s="127" t="s">
        <v>83</v>
      </c>
      <c r="B88" s="128">
        <f>27259080</f>
        <v>27259080</v>
      </c>
      <c r="C88" s="128">
        <f>20507957.25+5000000</f>
        <v>25507957.25</v>
      </c>
      <c r="D88" s="30"/>
      <c r="E88" s="30"/>
      <c r="F88" s="30"/>
      <c r="G88" s="59">
        <f t="shared" si="23"/>
        <v>52767037.25</v>
      </c>
      <c r="H88" s="74">
        <f t="shared" si="17"/>
        <v>6.558894183988711E-4</v>
      </c>
      <c r="I88" s="134">
        <v>39767037.25</v>
      </c>
      <c r="J88" s="135">
        <v>15719615.65</v>
      </c>
      <c r="K88" s="96">
        <f t="shared" si="20"/>
        <v>13000000</v>
      </c>
      <c r="L88" s="136"/>
      <c r="N88" s="12">
        <f>1734032*3+14880000*11</f>
        <v>168882096</v>
      </c>
    </row>
    <row r="89" spans="1:22" ht="15.6" x14ac:dyDescent="0.3">
      <c r="A89" s="127" t="s">
        <v>85</v>
      </c>
      <c r="B89" s="128">
        <f>4977268</f>
        <v>4977268</v>
      </c>
      <c r="C89" s="30">
        <f>10742347.65+10000000</f>
        <v>20742347.649999999</v>
      </c>
      <c r="D89" s="30"/>
      <c r="E89" s="30"/>
      <c r="F89" s="30"/>
      <c r="G89" s="59">
        <f t="shared" si="23"/>
        <v>25719615.649999999</v>
      </c>
      <c r="H89" s="74">
        <f t="shared" si="17"/>
        <v>3.1969245629990346E-4</v>
      </c>
      <c r="I89" s="134">
        <v>15719615.65</v>
      </c>
      <c r="J89" s="150">
        <v>3000000000</v>
      </c>
      <c r="K89" s="96">
        <f t="shared" si="20"/>
        <v>9999999.9999999981</v>
      </c>
      <c r="L89" s="136"/>
      <c r="N89" s="12">
        <f>276515*3</f>
        <v>829545</v>
      </c>
    </row>
    <row r="90" spans="1:22" s="5" customFormat="1" ht="15.6" x14ac:dyDescent="0.3">
      <c r="A90" s="151" t="s">
        <v>95</v>
      </c>
      <c r="B90" s="152"/>
      <c r="C90" s="152"/>
      <c r="D90" s="152"/>
      <c r="E90" s="152"/>
      <c r="F90" s="152"/>
      <c r="G90" s="62">
        <v>3000000000</v>
      </c>
      <c r="H90" s="79">
        <f t="shared" si="17"/>
        <v>3.7289723997088985E-2</v>
      </c>
      <c r="I90" s="153">
        <v>3000000000</v>
      </c>
      <c r="J90" s="154">
        <v>2587334193</v>
      </c>
      <c r="K90" s="96">
        <f t="shared" si="20"/>
        <v>0</v>
      </c>
      <c r="L90" s="155"/>
      <c r="N90" s="56">
        <f>SUM(N83+N77+N66+N48+N41+N31+N27+N11+N3)</f>
        <v>13628766749</v>
      </c>
      <c r="O90" s="12">
        <f>676178250*6</f>
        <v>4057069500</v>
      </c>
      <c r="P90" s="5" t="s">
        <v>212</v>
      </c>
    </row>
    <row r="91" spans="1:22" s="5" customFormat="1" ht="15.6" x14ac:dyDescent="0.3">
      <c r="A91" s="89" t="s">
        <v>96</v>
      </c>
      <c r="B91" s="14"/>
      <c r="C91" s="14"/>
      <c r="D91" s="14"/>
      <c r="E91" s="14">
        <f>SUM(E92:E95)</f>
        <v>4150334193</v>
      </c>
      <c r="F91" s="14"/>
      <c r="G91" s="14">
        <f>SUM(B91:F91)</f>
        <v>4150334193</v>
      </c>
      <c r="H91" s="73">
        <f t="shared" si="17"/>
        <v>5.1588272184217021E-2</v>
      </c>
      <c r="I91" s="14">
        <f>SUM(I92:I95)</f>
        <v>3220612522</v>
      </c>
      <c r="J91" s="111">
        <f>SUM(J92:J95)</f>
        <v>0</v>
      </c>
      <c r="K91" s="96">
        <f t="shared" si="20"/>
        <v>929721671</v>
      </c>
      <c r="L91" s="15"/>
      <c r="N91" s="12">
        <f>N90+B100</f>
        <v>50031775182</v>
      </c>
    </row>
    <row r="92" spans="1:22" s="5" customFormat="1" ht="25.8" customHeight="1" x14ac:dyDescent="0.6">
      <c r="A92" s="156" t="s">
        <v>97</v>
      </c>
      <c r="B92" s="30"/>
      <c r="C92" s="30"/>
      <c r="D92" s="157"/>
      <c r="E92" s="128">
        <f>2954055864+500000000</f>
        <v>3454055864</v>
      </c>
      <c r="F92" s="30"/>
      <c r="G92" s="59">
        <f>SUM(B92:F92)</f>
        <v>3454055864</v>
      </c>
      <c r="H92" s="74">
        <f t="shared" si="17"/>
        <v>4.293359661302891E-2</v>
      </c>
      <c r="I92" s="158">
        <v>2587334193</v>
      </c>
      <c r="J92" s="159"/>
      <c r="K92" s="96">
        <f t="shared" si="20"/>
        <v>866721671</v>
      </c>
      <c r="L92" s="15"/>
      <c r="N92" s="12"/>
    </row>
    <row r="93" spans="1:22" s="5" customFormat="1" ht="15.6" x14ac:dyDescent="0.3">
      <c r="A93" s="156" t="s">
        <v>98</v>
      </c>
      <c r="B93" s="30"/>
      <c r="C93" s="30"/>
      <c r="D93" s="30"/>
      <c r="E93" s="30">
        <v>200778329</v>
      </c>
      <c r="F93" s="30"/>
      <c r="G93" s="59">
        <f t="shared" ref="G93:G96" si="24">SUM(B93:F93)</f>
        <v>200778329</v>
      </c>
      <c r="H93" s="74">
        <f t="shared" si="17"/>
        <v>2.4956561576689094E-3</v>
      </c>
      <c r="I93" s="119">
        <v>152778329</v>
      </c>
      <c r="J93" s="159"/>
      <c r="K93" s="96">
        <f t="shared" si="20"/>
        <v>48000000</v>
      </c>
      <c r="L93" s="15"/>
      <c r="N93" s="12"/>
    </row>
    <row r="94" spans="1:22" s="5" customFormat="1" ht="15.6" x14ac:dyDescent="0.3">
      <c r="A94" s="156" t="s">
        <v>99</v>
      </c>
      <c r="B94" s="30"/>
      <c r="C94" s="30"/>
      <c r="D94" s="30"/>
      <c r="E94" s="30">
        <v>20000000</v>
      </c>
      <c r="F94" s="30"/>
      <c r="G94" s="59">
        <f t="shared" si="24"/>
        <v>20000000</v>
      </c>
      <c r="H94" s="74">
        <f t="shared" si="17"/>
        <v>2.4859815998059322E-4</v>
      </c>
      <c r="I94" s="119">
        <v>5000000</v>
      </c>
      <c r="J94" s="159"/>
      <c r="K94" s="96">
        <f t="shared" si="20"/>
        <v>15000000</v>
      </c>
      <c r="L94" s="15"/>
      <c r="N94" s="12"/>
    </row>
    <row r="95" spans="1:22" s="5" customFormat="1" ht="15.6" x14ac:dyDescent="0.3">
      <c r="A95" s="156" t="s">
        <v>100</v>
      </c>
      <c r="B95" s="30"/>
      <c r="C95" s="30"/>
      <c r="D95" s="30"/>
      <c r="E95" s="30">
        <v>475500000</v>
      </c>
      <c r="F95" s="30"/>
      <c r="G95" s="59">
        <f t="shared" si="24"/>
        <v>475500000</v>
      </c>
      <c r="H95" s="74">
        <f t="shared" si="17"/>
        <v>5.9104212535386041E-3</v>
      </c>
      <c r="I95" s="119">
        <v>475500000</v>
      </c>
      <c r="J95" s="159"/>
      <c r="K95" s="96">
        <f t="shared" si="20"/>
        <v>0</v>
      </c>
      <c r="L95" s="160"/>
      <c r="M95" s="83"/>
      <c r="N95" s="84"/>
      <c r="O95" s="83"/>
      <c r="P95" s="83"/>
      <c r="Q95" s="83"/>
      <c r="R95" s="83"/>
      <c r="S95" s="83"/>
      <c r="T95" s="83"/>
      <c r="U95" s="83"/>
      <c r="V95" s="83"/>
    </row>
    <row r="96" spans="1:22" s="5" customFormat="1" ht="15.6" x14ac:dyDescent="0.3">
      <c r="A96" s="63" t="s">
        <v>220</v>
      </c>
      <c r="B96" s="65">
        <v>13324004848</v>
      </c>
      <c r="C96" s="65"/>
      <c r="D96" s="65"/>
      <c r="E96" s="65">
        <v>4057069500</v>
      </c>
      <c r="F96" s="65"/>
      <c r="G96" s="64">
        <f t="shared" si="24"/>
        <v>17381074348</v>
      </c>
      <c r="H96" s="76"/>
      <c r="I96" s="120"/>
      <c r="J96" s="112">
        <v>0</v>
      </c>
      <c r="K96" s="96">
        <f t="shared" si="20"/>
        <v>17381074348</v>
      </c>
      <c r="L96" s="161"/>
      <c r="M96" s="83"/>
      <c r="N96" s="84"/>
      <c r="O96" s="83"/>
      <c r="P96" s="83"/>
      <c r="Q96" s="83"/>
      <c r="R96" s="83"/>
      <c r="S96" s="83"/>
      <c r="T96" s="83"/>
      <c r="U96" s="83"/>
      <c r="V96" s="83"/>
    </row>
    <row r="97" spans="1:22" s="5" customFormat="1" ht="15.6" x14ac:dyDescent="0.3">
      <c r="A97" s="63" t="s">
        <v>101</v>
      </c>
      <c r="B97" s="65"/>
      <c r="C97" s="65"/>
      <c r="D97" s="65"/>
      <c r="E97" s="65"/>
      <c r="F97" s="65">
        <f>SUM(F99:F99)</f>
        <v>100000000</v>
      </c>
      <c r="G97" s="64">
        <f>F97</f>
        <v>100000000</v>
      </c>
      <c r="H97" s="74">
        <f>G97/$G$100</f>
        <v>1.2429907999029662E-3</v>
      </c>
      <c r="I97" s="162">
        <v>702872869</v>
      </c>
      <c r="J97" s="113">
        <f>SUM(J99:J99)</f>
        <v>702872869</v>
      </c>
      <c r="K97" s="96">
        <f t="shared" si="20"/>
        <v>-602872869</v>
      </c>
      <c r="L97" s="160"/>
      <c r="M97" s="83"/>
      <c r="N97" s="84"/>
      <c r="O97" s="83"/>
      <c r="P97" s="83"/>
      <c r="Q97" s="83"/>
      <c r="R97" s="83"/>
      <c r="S97" s="83"/>
      <c r="T97" s="83"/>
      <c r="U97" s="83"/>
      <c r="V97" s="83"/>
    </row>
    <row r="98" spans="1:22" s="5" customFormat="1" ht="15.6" x14ac:dyDescent="0.3">
      <c r="A98" s="63" t="s">
        <v>225</v>
      </c>
      <c r="B98" s="65"/>
      <c r="C98" s="65"/>
      <c r="D98" s="65"/>
      <c r="E98" s="65"/>
      <c r="F98" s="65"/>
      <c r="G98" s="65">
        <f>2781000000-282733200-600000-50000000+2046000000</f>
        <v>4493666800</v>
      </c>
      <c r="H98" s="74"/>
      <c r="J98" s="113"/>
      <c r="K98" s="96"/>
      <c r="L98" s="160"/>
      <c r="M98" s="83"/>
      <c r="N98" s="84"/>
      <c r="O98" s="83"/>
      <c r="P98" s="83"/>
      <c r="Q98" s="83"/>
      <c r="R98" s="83"/>
      <c r="S98" s="83"/>
      <c r="T98" s="83"/>
      <c r="U98" s="83"/>
      <c r="V98" s="83"/>
    </row>
    <row r="99" spans="1:22" s="5" customFormat="1" ht="15.6" x14ac:dyDescent="0.3">
      <c r="A99" s="156" t="s">
        <v>101</v>
      </c>
      <c r="B99" s="30"/>
      <c r="C99" s="30"/>
      <c r="D99" s="30"/>
      <c r="E99" s="30"/>
      <c r="F99" s="30">
        <v>100000000</v>
      </c>
      <c r="G99" s="59">
        <f>SUM(F99)</f>
        <v>100000000</v>
      </c>
      <c r="H99" s="74">
        <f>G99/$G$100</f>
        <v>1.2429907999029662E-3</v>
      </c>
      <c r="I99" s="117"/>
      <c r="J99" s="159">
        <v>702872869</v>
      </c>
      <c r="K99" s="97"/>
      <c r="L99" s="163"/>
      <c r="M99" s="83"/>
      <c r="N99" s="84"/>
      <c r="O99" s="85"/>
      <c r="P99" s="83"/>
      <c r="Q99" s="83"/>
      <c r="R99" s="83"/>
      <c r="S99" s="83"/>
      <c r="T99" s="83"/>
      <c r="U99" s="83"/>
      <c r="V99" s="83"/>
    </row>
    <row r="100" spans="1:22" ht="15.6" x14ac:dyDescent="0.3">
      <c r="A100" s="80" t="s">
        <v>102</v>
      </c>
      <c r="B100" s="81">
        <f>SUM(B91+B83+B77+B66+B48+B41+B35+B31+B27+B11+B3+B96)</f>
        <v>36403008433</v>
      </c>
      <c r="C100" s="81">
        <f>SUM(C91+C83+C77+C66+C48+C41+C35+C31+C27+C11+C3+C96)</f>
        <v>11182518501.457499</v>
      </c>
      <c r="D100" s="81">
        <f>SUM(D91+D83+D77+D66+D48+D41+D35+D31+D27+D11+D3+D96)</f>
        <v>8597211692</v>
      </c>
      <c r="E100" s="81">
        <f>SUM(E91+E83+E77+E66+E48+E41+E35+E31+E27+E11+E3+E96)</f>
        <v>16634712963</v>
      </c>
      <c r="F100" s="81">
        <f>SUM(F91+F83+F77+F66+F48+F41+F35+F31+F27+F11+F3+F96+F97)</f>
        <v>140000000</v>
      </c>
      <c r="G100" s="62">
        <f>B100+C100+D100+E100+F100+G90+G98</f>
        <v>80451118389.457489</v>
      </c>
      <c r="H100" s="82">
        <f>G100/$G$100</f>
        <v>1</v>
      </c>
      <c r="I100" s="121">
        <v>43691003541</v>
      </c>
      <c r="J100" s="113">
        <f>J97+J96+J91+J90+J83+J77+J66+J48+J41+J35+J31+J27+J11+J3</f>
        <v>41540260072.836884</v>
      </c>
      <c r="K100" s="97">
        <f>G100-J100</f>
        <v>38910858316.620605</v>
      </c>
      <c r="L100" s="163"/>
      <c r="M100" s="86"/>
      <c r="N100" s="84">
        <f>SUM(N91+N83+N77+N66+N48+N41+N35+N31+N27+N11+N3)</f>
        <v>63672756830</v>
      </c>
      <c r="O100" s="83"/>
      <c r="P100" s="83"/>
      <c r="Q100" s="87">
        <f>N100*0.8</f>
        <v>50938205464</v>
      </c>
      <c r="R100" s="83"/>
      <c r="S100" s="83"/>
      <c r="T100" s="83"/>
      <c r="U100" s="83"/>
      <c r="V100" s="83"/>
    </row>
    <row r="101" spans="1:22" ht="15.6" x14ac:dyDescent="0.3">
      <c r="A101" s="164" t="s">
        <v>103</v>
      </c>
      <c r="B101" s="16"/>
      <c r="C101" s="16"/>
      <c r="D101" s="16"/>
      <c r="E101" s="31">
        <v>1139052220</v>
      </c>
      <c r="F101" s="16"/>
      <c r="G101" s="59">
        <f>E101</f>
        <v>1139052220</v>
      </c>
      <c r="H101" s="77"/>
      <c r="I101" s="119">
        <v>2172293690</v>
      </c>
      <c r="J101" s="159">
        <v>413533741</v>
      </c>
      <c r="K101" s="97"/>
      <c r="L101" s="165"/>
      <c r="M101" s="86"/>
      <c r="N101" s="84"/>
      <c r="O101" s="83"/>
      <c r="P101" s="83"/>
      <c r="Q101" s="83"/>
      <c r="R101" s="83"/>
      <c r="S101" s="83"/>
      <c r="T101" s="83"/>
      <c r="U101" s="83"/>
      <c r="V101" s="83"/>
    </row>
    <row r="102" spans="1:22" ht="16.2" thickBot="1" x14ac:dyDescent="0.35">
      <c r="A102" s="90" t="s">
        <v>104</v>
      </c>
      <c r="B102" s="91">
        <f>B100</f>
        <v>36403008433</v>
      </c>
      <c r="C102" s="91">
        <f>SUM(C100:C101)</f>
        <v>11182518501.457499</v>
      </c>
      <c r="D102" s="91">
        <f>SUM(D100:D101)</f>
        <v>8597211692</v>
      </c>
      <c r="E102" s="91">
        <f>SUM(E100:E101)</f>
        <v>17773765183</v>
      </c>
      <c r="F102" s="91">
        <f>SUM(F100:F101)</f>
        <v>140000000</v>
      </c>
      <c r="G102" s="92">
        <f>G100+G101</f>
        <v>81590170609.457489</v>
      </c>
      <c r="H102" s="93"/>
      <c r="I102" s="122">
        <v>46276830972</v>
      </c>
      <c r="J102" s="114">
        <f>J100+J101</f>
        <v>41953793813.836884</v>
      </c>
      <c r="K102" s="98">
        <f>G102-I102</f>
        <v>35313339637.457489</v>
      </c>
      <c r="L102" s="160"/>
      <c r="M102" s="86"/>
      <c r="N102" s="84">
        <f>SUM(N100:N101)</f>
        <v>63672756830</v>
      </c>
      <c r="O102" s="88"/>
      <c r="P102" s="83"/>
      <c r="Q102" s="83"/>
      <c r="R102" s="83"/>
      <c r="S102" s="83"/>
      <c r="T102" s="83"/>
      <c r="U102" s="83"/>
      <c r="V102" s="83"/>
    </row>
    <row r="103" spans="1:22" ht="15" thickTop="1" x14ac:dyDescent="0.3">
      <c r="A103" s="15"/>
      <c r="B103" s="155">
        <f>B100/G100</f>
        <v>0.45248604571009093</v>
      </c>
      <c r="C103" s="155">
        <f>C100/G100</f>
        <v>0.13899767617056374</v>
      </c>
      <c r="D103" s="155">
        <f>D100/G100</f>
        <v>0.10686255037974214</v>
      </c>
      <c r="E103" s="155">
        <f>E100/G100</f>
        <v>0.20676795172035611</v>
      </c>
      <c r="F103" s="166">
        <f>F100/G100</f>
        <v>1.7401871198641527E-3</v>
      </c>
      <c r="G103" s="137"/>
      <c r="H103" s="161"/>
      <c r="I103" s="167"/>
      <c r="J103" s="168"/>
      <c r="K103" s="169"/>
      <c r="L103" s="15"/>
      <c r="N103" s="12"/>
    </row>
    <row r="104" spans="1:22" ht="15.6" x14ac:dyDescent="0.3">
      <c r="B104" s="94"/>
      <c r="E104" s="94"/>
      <c r="F104" s="66"/>
      <c r="G104" s="67"/>
      <c r="H104" s="68"/>
      <c r="I104" s="124"/>
      <c r="J104" s="69"/>
    </row>
    <row r="105" spans="1:22" ht="15.6" x14ac:dyDescent="0.3">
      <c r="B105" s="105"/>
      <c r="C105" s="105"/>
      <c r="D105" s="105"/>
      <c r="E105" s="105"/>
      <c r="F105" s="104"/>
      <c r="G105" s="104"/>
      <c r="H105" s="68"/>
      <c r="I105" s="124"/>
      <c r="J105" s="69"/>
    </row>
    <row r="106" spans="1:22" ht="15.6" x14ac:dyDescent="0.3">
      <c r="B106" s="13"/>
      <c r="C106" s="13"/>
      <c r="D106" s="13"/>
      <c r="E106" s="13"/>
      <c r="F106" s="13"/>
      <c r="G106" s="13"/>
      <c r="H106" s="68"/>
      <c r="I106" s="124"/>
      <c r="J106" s="68"/>
    </row>
    <row r="107" spans="1:22" ht="15.6" x14ac:dyDescent="0.3">
      <c r="B107" s="13"/>
      <c r="F107" s="66"/>
      <c r="G107" s="70"/>
      <c r="H107" s="68"/>
      <c r="I107" s="124"/>
      <c r="J107" s="68"/>
    </row>
    <row r="108" spans="1:22" ht="15.6" x14ac:dyDescent="0.3">
      <c r="B108" s="13"/>
      <c r="F108" s="66"/>
      <c r="G108" s="66"/>
      <c r="H108" s="68"/>
      <c r="I108" s="124"/>
      <c r="J108" s="68"/>
    </row>
    <row r="109" spans="1:22" ht="15.6" x14ac:dyDescent="0.3">
      <c r="F109" s="66"/>
      <c r="G109" s="66"/>
      <c r="H109" s="68"/>
      <c r="I109" s="124"/>
      <c r="J109" s="68"/>
    </row>
    <row r="110" spans="1:22" ht="15.6" x14ac:dyDescent="0.3">
      <c r="F110" s="66"/>
      <c r="G110" s="66"/>
      <c r="H110" s="68"/>
      <c r="I110" s="124"/>
      <c r="J110" s="68"/>
    </row>
    <row r="111" spans="1:22" ht="15.6" x14ac:dyDescent="0.3">
      <c r="F111" s="66"/>
      <c r="G111" s="66"/>
      <c r="H111" s="68"/>
      <c r="I111" s="124"/>
      <c r="J111" s="68"/>
    </row>
    <row r="112" spans="1:22" ht="15.6" x14ac:dyDescent="0.3">
      <c r="F112" s="66"/>
      <c r="G112" s="66"/>
      <c r="H112" s="68"/>
      <c r="I112" s="124"/>
      <c r="J112" s="68"/>
    </row>
  </sheetData>
  <sortState ref="A33:G35">
    <sortCondition ref="A33"/>
  </sortState>
  <mergeCells count="1">
    <mergeCell ref="A1:G1"/>
  </mergeCells>
  <pageMargins left="0.7" right="0.7" top="0.75" bottom="0.75" header="0.3" footer="0.3"/>
  <pageSetup scale="38" orientation="landscape" r:id="rId1"/>
  <rowBreaks count="3" manualBreakCount="3">
    <brk id="40" max="8" man="1"/>
    <brk id="76" max="8" man="1"/>
    <brk id="102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topLeftCell="A86" workbookViewId="0">
      <selection activeCell="H251" sqref="H251"/>
    </sheetView>
  </sheetViews>
  <sheetFormatPr defaultRowHeight="14.4" x14ac:dyDescent="0.3"/>
  <cols>
    <col min="1" max="1" width="32.44140625" customWidth="1"/>
    <col min="2" max="2" width="16.6640625" customWidth="1"/>
    <col min="3" max="3" width="16.6640625" bestFit="1" customWidth="1"/>
    <col min="4" max="4" width="16.6640625" style="5" customWidth="1"/>
    <col min="5" max="5" width="19.5546875" style="5" customWidth="1"/>
    <col min="6" max="6" width="18.5546875" customWidth="1"/>
    <col min="7" max="7" width="17.44140625" bestFit="1" customWidth="1"/>
  </cols>
  <sheetData>
    <row r="1" spans="1:7" s="5" customFormat="1" ht="42.6" customHeight="1" x14ac:dyDescent="0.3">
      <c r="A1" s="179" t="s">
        <v>193</v>
      </c>
      <c r="B1" s="179"/>
      <c r="C1" s="179"/>
      <c r="D1" s="179"/>
      <c r="E1" s="179"/>
      <c r="F1" s="179"/>
      <c r="G1" s="179"/>
    </row>
    <row r="2" spans="1:7" ht="40.200000000000003" customHeight="1" x14ac:dyDescent="0.3">
      <c r="A2" s="23" t="s">
        <v>107</v>
      </c>
      <c r="B2" s="23" t="s">
        <v>194</v>
      </c>
      <c r="C2" s="23" t="s">
        <v>108</v>
      </c>
      <c r="D2" s="23" t="s">
        <v>195</v>
      </c>
      <c r="E2" s="23" t="s">
        <v>196</v>
      </c>
      <c r="F2" s="23" t="s">
        <v>109</v>
      </c>
      <c r="G2" s="23" t="s">
        <v>110</v>
      </c>
    </row>
    <row r="3" spans="1:7" x14ac:dyDescent="0.3">
      <c r="A3" s="6" t="s">
        <v>111</v>
      </c>
      <c r="B3" s="17">
        <v>53189497</v>
      </c>
      <c r="C3" s="17">
        <v>183636615.05000001</v>
      </c>
      <c r="D3" s="19">
        <f>B3/E3</f>
        <v>-0.40774758227784391</v>
      </c>
      <c r="E3" s="18">
        <f>B3-C3</f>
        <v>-130447118.05000001</v>
      </c>
      <c r="F3" s="17">
        <v>194687900</v>
      </c>
      <c r="G3" s="17">
        <v>-325135018.05000001</v>
      </c>
    </row>
    <row r="4" spans="1:7" x14ac:dyDescent="0.3">
      <c r="A4" s="6" t="s">
        <v>112</v>
      </c>
      <c r="B4" s="17">
        <v>2200723109</v>
      </c>
      <c r="C4" s="17">
        <v>3057370060.4499998</v>
      </c>
      <c r="D4" s="19">
        <f t="shared" ref="D4:D67" si="0">B4/E4</f>
        <v>-2.5689966038809282</v>
      </c>
      <c r="E4" s="18">
        <f t="shared" ref="E4:E67" si="1">B4-C4</f>
        <v>-856646951.44999981</v>
      </c>
      <c r="F4" s="17">
        <v>2268095280.9499998</v>
      </c>
      <c r="G4" s="17">
        <v>-3124742232.4000001</v>
      </c>
    </row>
    <row r="5" spans="1:7" x14ac:dyDescent="0.3">
      <c r="A5" s="6" t="s">
        <v>113</v>
      </c>
      <c r="B5" s="17">
        <v>38000000</v>
      </c>
      <c r="C5" s="17">
        <v>39672445.039999999</v>
      </c>
      <c r="D5" s="19">
        <f t="shared" si="0"/>
        <v>-22.721224967727501</v>
      </c>
      <c r="E5" s="18">
        <f t="shared" si="1"/>
        <v>-1672445.0399999991</v>
      </c>
      <c r="F5" s="6">
        <v>0</v>
      </c>
      <c r="G5" s="17">
        <v>-1672445.04</v>
      </c>
    </row>
    <row r="6" spans="1:7" x14ac:dyDescent="0.3">
      <c r="A6" s="6" t="s">
        <v>114</v>
      </c>
      <c r="B6" s="17">
        <v>1000000000</v>
      </c>
      <c r="C6" s="17">
        <v>154002763</v>
      </c>
      <c r="D6" s="19">
        <f t="shared" si="0"/>
        <v>1.1820369574091174</v>
      </c>
      <c r="E6" s="18">
        <f t="shared" si="1"/>
        <v>845997237</v>
      </c>
      <c r="F6" s="17">
        <v>531936929</v>
      </c>
      <c r="G6" s="17">
        <v>314060308</v>
      </c>
    </row>
    <row r="7" spans="1:7" s="22" customFormat="1" ht="15.6" x14ac:dyDescent="0.3">
      <c r="A7" s="20" t="s">
        <v>115</v>
      </c>
      <c r="B7" s="21">
        <v>3291912606</v>
      </c>
      <c r="C7" s="21">
        <v>3434681883.54</v>
      </c>
      <c r="D7" s="24">
        <f t="shared" si="0"/>
        <v>-23.057569966883793</v>
      </c>
      <c r="E7" s="18">
        <f t="shared" si="1"/>
        <v>-142769277.53999996</v>
      </c>
      <c r="F7" s="21">
        <v>2994720109.9499998</v>
      </c>
      <c r="G7" s="21">
        <v>-3137489387.4899998</v>
      </c>
    </row>
    <row r="8" spans="1:7" x14ac:dyDescent="0.3">
      <c r="A8" s="6" t="s">
        <v>111</v>
      </c>
      <c r="B8" s="17">
        <v>2679002995.5799999</v>
      </c>
      <c r="C8" s="17">
        <v>836776539.29999995</v>
      </c>
      <c r="D8" s="19">
        <f t="shared" si="0"/>
        <v>1.4542202379341025</v>
      </c>
      <c r="E8" s="18">
        <f t="shared" si="1"/>
        <v>1842226456.28</v>
      </c>
      <c r="F8" s="6">
        <v>0</v>
      </c>
      <c r="G8" s="17">
        <v>1842226456.28</v>
      </c>
    </row>
    <row r="9" spans="1:7" x14ac:dyDescent="0.3">
      <c r="A9" s="6" t="s">
        <v>112</v>
      </c>
      <c r="B9" s="17">
        <v>76942655.700000003</v>
      </c>
      <c r="C9" s="17">
        <v>376852437</v>
      </c>
      <c r="D9" s="19">
        <f t="shared" si="0"/>
        <v>-0.25655267182844632</v>
      </c>
      <c r="E9" s="18">
        <f t="shared" si="1"/>
        <v>-299909781.30000001</v>
      </c>
      <c r="F9" s="17">
        <v>625851900</v>
      </c>
      <c r="G9" s="17">
        <v>-925761681.29999995</v>
      </c>
    </row>
    <row r="10" spans="1:7" s="22" customFormat="1" ht="15.6" x14ac:dyDescent="0.3">
      <c r="A10" s="20" t="s">
        <v>116</v>
      </c>
      <c r="B10" s="21">
        <v>2755945651.2800002</v>
      </c>
      <c r="C10" s="21">
        <v>1213628976.3</v>
      </c>
      <c r="D10" s="24">
        <f t="shared" si="0"/>
        <v>1.7868870226120959</v>
      </c>
      <c r="E10" s="18">
        <f t="shared" si="1"/>
        <v>1542316674.9800003</v>
      </c>
      <c r="F10" s="21">
        <v>625851900</v>
      </c>
      <c r="G10" s="21">
        <v>916464774.98000002</v>
      </c>
    </row>
    <row r="11" spans="1:7" x14ac:dyDescent="0.3">
      <c r="A11" s="6" t="s">
        <v>111</v>
      </c>
      <c r="B11" s="17">
        <v>43321137.82</v>
      </c>
      <c r="C11" s="17">
        <v>28290242</v>
      </c>
      <c r="D11" s="19">
        <f t="shared" si="0"/>
        <v>2.8821394505547175</v>
      </c>
      <c r="E11" s="18">
        <f t="shared" si="1"/>
        <v>15030895.82</v>
      </c>
      <c r="F11" s="17">
        <v>2133562</v>
      </c>
      <c r="G11" s="17">
        <v>12897333.82</v>
      </c>
    </row>
    <row r="12" spans="1:7" x14ac:dyDescent="0.3">
      <c r="A12" s="6" t="s">
        <v>112</v>
      </c>
      <c r="B12" s="17">
        <v>21802500</v>
      </c>
      <c r="C12" s="17">
        <v>11794246.279999999</v>
      </c>
      <c r="D12" s="19">
        <f t="shared" si="0"/>
        <v>2.1784519667433049</v>
      </c>
      <c r="E12" s="18">
        <f t="shared" si="1"/>
        <v>10008253.720000001</v>
      </c>
      <c r="F12" s="17">
        <v>7360212</v>
      </c>
      <c r="G12" s="17">
        <v>2648041.7200000002</v>
      </c>
    </row>
    <row r="13" spans="1:7" s="22" customFormat="1" ht="15.6" x14ac:dyDescent="0.3">
      <c r="A13" s="20" t="s">
        <v>117</v>
      </c>
      <c r="B13" s="21">
        <v>65123637.82</v>
      </c>
      <c r="C13" s="21">
        <v>40084488.280000001</v>
      </c>
      <c r="D13" s="19">
        <f t="shared" si="0"/>
        <v>2.60087259417358</v>
      </c>
      <c r="E13" s="18">
        <f t="shared" si="1"/>
        <v>25039149.539999999</v>
      </c>
      <c r="F13" s="21">
        <v>9493774</v>
      </c>
      <c r="G13" s="21">
        <v>15545375.539999999</v>
      </c>
    </row>
    <row r="14" spans="1:7" x14ac:dyDescent="0.3">
      <c r="A14" s="6" t="s">
        <v>111</v>
      </c>
      <c r="B14" s="17">
        <v>6584384604.4200001</v>
      </c>
      <c r="C14" s="17">
        <v>1719308851.0799999</v>
      </c>
      <c r="D14" s="19">
        <f t="shared" si="0"/>
        <v>1.3533981664930193</v>
      </c>
      <c r="E14" s="18">
        <f t="shared" si="1"/>
        <v>4865075753.3400002</v>
      </c>
      <c r="F14" s="17">
        <v>112422436.81</v>
      </c>
      <c r="G14" s="17">
        <v>4752653316.5299997</v>
      </c>
    </row>
    <row r="15" spans="1:7" x14ac:dyDescent="0.3">
      <c r="A15" s="6" t="s">
        <v>112</v>
      </c>
      <c r="B15" s="17">
        <v>86089007.25</v>
      </c>
      <c r="C15" s="17">
        <v>433548517</v>
      </c>
      <c r="D15" s="19">
        <f t="shared" si="0"/>
        <v>-0.24776701985201602</v>
      </c>
      <c r="E15" s="18">
        <f t="shared" si="1"/>
        <v>-347459509.75</v>
      </c>
      <c r="F15" s="17">
        <v>524592024.17000002</v>
      </c>
      <c r="G15" s="17">
        <v>-872051533.91999996</v>
      </c>
    </row>
    <row r="16" spans="1:7" s="22" customFormat="1" ht="15.6" x14ac:dyDescent="0.3">
      <c r="A16" s="20" t="s">
        <v>118</v>
      </c>
      <c r="B16" s="21">
        <v>6670473611.6700001</v>
      </c>
      <c r="C16" s="21">
        <v>2152857368.0799999</v>
      </c>
      <c r="D16" s="24">
        <f t="shared" si="0"/>
        <v>1.4765471992302728</v>
      </c>
      <c r="E16" s="18">
        <f t="shared" si="1"/>
        <v>4517616243.5900002</v>
      </c>
      <c r="F16" s="21">
        <v>637014460.98000002</v>
      </c>
      <c r="G16" s="21">
        <v>3880601782.6100001</v>
      </c>
    </row>
    <row r="17" spans="1:7" x14ac:dyDescent="0.3">
      <c r="A17" s="6" t="s">
        <v>111</v>
      </c>
      <c r="B17" s="17">
        <v>478136607</v>
      </c>
      <c r="C17" s="17">
        <v>419916987.64999998</v>
      </c>
      <c r="D17" s="19">
        <f t="shared" si="0"/>
        <v>8.2126371202390871</v>
      </c>
      <c r="E17" s="18">
        <f t="shared" si="1"/>
        <v>58219619.350000024</v>
      </c>
      <c r="F17" s="17">
        <v>41038803</v>
      </c>
      <c r="G17" s="17">
        <v>17180816.350000001</v>
      </c>
    </row>
    <row r="18" spans="1:7" x14ac:dyDescent="0.3">
      <c r="A18" s="6" t="s">
        <v>112</v>
      </c>
      <c r="B18" s="17">
        <v>295568234</v>
      </c>
      <c r="C18" s="17">
        <v>2490656533.3200002</v>
      </c>
      <c r="D18" s="19">
        <f t="shared" si="0"/>
        <v>-0.13464981526782402</v>
      </c>
      <c r="E18" s="18">
        <f t="shared" si="1"/>
        <v>-2195088299.3200002</v>
      </c>
      <c r="F18" s="17">
        <v>8809672498</v>
      </c>
      <c r="G18" s="17">
        <v>-11004760797.299999</v>
      </c>
    </row>
    <row r="19" spans="1:7" x14ac:dyDescent="0.3">
      <c r="A19" s="6" t="s">
        <v>119</v>
      </c>
      <c r="B19" s="17">
        <v>5872867607.0299997</v>
      </c>
      <c r="C19" s="17">
        <v>1847343321.6199999</v>
      </c>
      <c r="D19" s="19">
        <f t="shared" si="0"/>
        <v>1.4589075088468502</v>
      </c>
      <c r="E19" s="18">
        <f t="shared" si="1"/>
        <v>4025524285.4099998</v>
      </c>
      <c r="F19" s="17">
        <v>861974377</v>
      </c>
      <c r="G19" s="17">
        <v>3163549908.4099998</v>
      </c>
    </row>
    <row r="20" spans="1:7" x14ac:dyDescent="0.3">
      <c r="A20" s="6" t="s">
        <v>113</v>
      </c>
      <c r="B20" s="17">
        <v>901872869</v>
      </c>
      <c r="C20" s="17">
        <v>3910821.68</v>
      </c>
      <c r="D20" s="19">
        <f t="shared" si="0"/>
        <v>1.0043552193454857</v>
      </c>
      <c r="E20" s="18">
        <f t="shared" si="1"/>
        <v>897962047.32000005</v>
      </c>
      <c r="F20" s="6">
        <v>0</v>
      </c>
      <c r="G20" s="17">
        <v>897962047.32000005</v>
      </c>
    </row>
    <row r="21" spans="1:7" s="22" customFormat="1" ht="15.6" x14ac:dyDescent="0.3">
      <c r="A21" s="20" t="s">
        <v>120</v>
      </c>
      <c r="B21" s="21">
        <v>7548445317.0299997</v>
      </c>
      <c r="C21" s="21">
        <v>4761827664.2700005</v>
      </c>
      <c r="D21" s="24">
        <f t="shared" si="0"/>
        <v>2.7088198876346237</v>
      </c>
      <c r="E21" s="18">
        <f t="shared" si="1"/>
        <v>2786617652.7599993</v>
      </c>
      <c r="F21" s="21">
        <v>9712685678</v>
      </c>
      <c r="G21" s="21">
        <v>-6926068025.2399998</v>
      </c>
    </row>
    <row r="22" spans="1:7" x14ac:dyDescent="0.3">
      <c r="A22" s="6" t="s">
        <v>111</v>
      </c>
      <c r="B22" s="17">
        <v>160527431.88</v>
      </c>
      <c r="C22" s="17">
        <v>103919494</v>
      </c>
      <c r="D22" s="19">
        <f t="shared" si="0"/>
        <v>2.8357760040701914</v>
      </c>
      <c r="E22" s="18">
        <f t="shared" si="1"/>
        <v>56607937.879999995</v>
      </c>
      <c r="F22" s="17">
        <v>16417249</v>
      </c>
      <c r="G22" s="17">
        <v>40190688.880000003</v>
      </c>
    </row>
    <row r="23" spans="1:7" x14ac:dyDescent="0.3">
      <c r="A23" s="6" t="s">
        <v>112</v>
      </c>
      <c r="B23" s="17">
        <v>73821075</v>
      </c>
      <c r="C23" s="17">
        <v>108876347</v>
      </c>
      <c r="D23" s="19">
        <f t="shared" si="0"/>
        <v>-2.1058480162413233</v>
      </c>
      <c r="E23" s="18">
        <f t="shared" si="1"/>
        <v>-35055272</v>
      </c>
      <c r="F23" s="17">
        <v>194444149</v>
      </c>
      <c r="G23" s="17">
        <v>-229499421</v>
      </c>
    </row>
    <row r="24" spans="1:7" x14ac:dyDescent="0.3">
      <c r="A24" s="6" t="s">
        <v>119</v>
      </c>
      <c r="B24" s="17">
        <v>779006525.12</v>
      </c>
      <c r="C24" s="17">
        <v>191984740.61000001</v>
      </c>
      <c r="D24" s="19">
        <f t="shared" si="0"/>
        <v>1.3270487495966676</v>
      </c>
      <c r="E24" s="18">
        <f t="shared" si="1"/>
        <v>587021784.50999999</v>
      </c>
      <c r="F24" s="17">
        <v>10000000</v>
      </c>
      <c r="G24" s="17">
        <v>577021784.50999999</v>
      </c>
    </row>
    <row r="25" spans="1:7" s="22" customFormat="1" ht="15.6" x14ac:dyDescent="0.3">
      <c r="A25" s="20" t="s">
        <v>121</v>
      </c>
      <c r="B25" s="21">
        <v>1013355032</v>
      </c>
      <c r="C25" s="21">
        <v>404780581.61000001</v>
      </c>
      <c r="D25" s="24">
        <f t="shared" si="0"/>
        <v>1.6651291084444964</v>
      </c>
      <c r="E25" s="18">
        <f t="shared" si="1"/>
        <v>608574450.38999999</v>
      </c>
      <c r="F25" s="21">
        <v>220861398</v>
      </c>
      <c r="G25" s="21">
        <v>387713052.38999999</v>
      </c>
    </row>
    <row r="26" spans="1:7" x14ac:dyDescent="0.3">
      <c r="A26" s="6" t="s">
        <v>111</v>
      </c>
      <c r="B26" s="17">
        <v>15459771.9</v>
      </c>
      <c r="C26" s="17">
        <v>9039295.8499999996</v>
      </c>
      <c r="D26" s="19">
        <f t="shared" si="0"/>
        <v>2.4078856115349887</v>
      </c>
      <c r="E26" s="18">
        <f t="shared" si="1"/>
        <v>6420476.0500000007</v>
      </c>
      <c r="F26" s="6">
        <v>0</v>
      </c>
      <c r="G26" s="17">
        <v>6420476.0499999998</v>
      </c>
    </row>
    <row r="27" spans="1:7" x14ac:dyDescent="0.3">
      <c r="A27" s="6" t="s">
        <v>112</v>
      </c>
      <c r="B27" s="17">
        <v>7239186.5</v>
      </c>
      <c r="C27" s="17">
        <v>4000000</v>
      </c>
      <c r="D27" s="19">
        <f t="shared" si="0"/>
        <v>2.2348779546963411</v>
      </c>
      <c r="E27" s="18">
        <f t="shared" si="1"/>
        <v>3239186.5</v>
      </c>
      <c r="F27" s="17">
        <v>349335</v>
      </c>
      <c r="G27" s="17">
        <v>2889851.5</v>
      </c>
    </row>
    <row r="28" spans="1:7" s="22" customFormat="1" ht="15.6" x14ac:dyDescent="0.3">
      <c r="A28" s="20" t="s">
        <v>122</v>
      </c>
      <c r="B28" s="21">
        <v>22698958.399999999</v>
      </c>
      <c r="C28" s="21">
        <v>13039295.85</v>
      </c>
      <c r="D28" s="24">
        <f t="shared" si="0"/>
        <v>2.3498707416026661</v>
      </c>
      <c r="E28" s="18">
        <f t="shared" si="1"/>
        <v>9659662.5499999989</v>
      </c>
      <c r="F28" s="21">
        <v>349335</v>
      </c>
      <c r="G28" s="21">
        <v>9310327.5500000007</v>
      </c>
    </row>
    <row r="29" spans="1:7" x14ac:dyDescent="0.3">
      <c r="A29" s="6" t="s">
        <v>111</v>
      </c>
      <c r="B29" s="17">
        <v>317127915.63999999</v>
      </c>
      <c r="C29" s="17">
        <v>207397654.56999999</v>
      </c>
      <c r="D29" s="19">
        <f t="shared" si="0"/>
        <v>2.8900679953517585</v>
      </c>
      <c r="E29" s="18">
        <f t="shared" si="1"/>
        <v>109730261.06999999</v>
      </c>
      <c r="F29" s="17">
        <v>41107702</v>
      </c>
      <c r="G29" s="17">
        <v>68622559.069999993</v>
      </c>
    </row>
    <row r="30" spans="1:7" x14ac:dyDescent="0.3">
      <c r="A30" s="6" t="s">
        <v>112</v>
      </c>
      <c r="B30" s="17">
        <v>87433784</v>
      </c>
      <c r="C30" s="17">
        <v>287257399.95999998</v>
      </c>
      <c r="D30" s="19">
        <f t="shared" si="0"/>
        <v>-0.43755480842415645</v>
      </c>
      <c r="E30" s="18">
        <f t="shared" si="1"/>
        <v>-199823615.95999998</v>
      </c>
      <c r="F30" s="17">
        <v>981986454.03999996</v>
      </c>
      <c r="G30" s="17">
        <v>-1181810070</v>
      </c>
    </row>
    <row r="31" spans="1:7" s="22" customFormat="1" ht="15.6" x14ac:dyDescent="0.3">
      <c r="A31" s="20" t="s">
        <v>123</v>
      </c>
      <c r="B31" s="21">
        <v>404561699.63999999</v>
      </c>
      <c r="C31" s="21">
        <v>494655054.52999997</v>
      </c>
      <c r="D31" s="24">
        <f t="shared" si="0"/>
        <v>-4.4904721345314753</v>
      </c>
      <c r="E31" s="18">
        <f t="shared" si="1"/>
        <v>-90093354.889999986</v>
      </c>
      <c r="F31" s="21">
        <v>1023094156.04</v>
      </c>
      <c r="G31" s="21">
        <v>-1113187510.9300001</v>
      </c>
    </row>
    <row r="32" spans="1:7" x14ac:dyDescent="0.3">
      <c r="A32" s="6" t="s">
        <v>111</v>
      </c>
      <c r="B32" s="17">
        <v>150750764.58000001</v>
      </c>
      <c r="C32" s="17">
        <v>94061229</v>
      </c>
      <c r="D32" s="19">
        <f t="shared" si="0"/>
        <v>2.659234425501003</v>
      </c>
      <c r="E32" s="18">
        <f t="shared" si="1"/>
        <v>56689535.580000013</v>
      </c>
      <c r="F32" s="17">
        <v>37853489</v>
      </c>
      <c r="G32" s="17">
        <v>18836046.579999998</v>
      </c>
    </row>
    <row r="33" spans="1:11" x14ac:dyDescent="0.3">
      <c r="A33" s="6" t="s">
        <v>112</v>
      </c>
      <c r="B33" s="17">
        <v>9534910.2799999993</v>
      </c>
      <c r="C33" s="17">
        <v>8900398</v>
      </c>
      <c r="D33" s="19">
        <f t="shared" si="0"/>
        <v>15.027148536825811</v>
      </c>
      <c r="E33" s="18">
        <f t="shared" si="1"/>
        <v>634512.27999999933</v>
      </c>
      <c r="F33" s="17">
        <v>544630</v>
      </c>
      <c r="G33" s="17">
        <v>89882.28</v>
      </c>
    </row>
    <row r="34" spans="1:11" x14ac:dyDescent="0.3">
      <c r="A34" s="6" t="s">
        <v>119</v>
      </c>
      <c r="B34" s="17">
        <v>505984141</v>
      </c>
      <c r="C34" s="17">
        <v>270535169</v>
      </c>
      <c r="D34" s="19">
        <f t="shared" si="0"/>
        <v>2.1490182637110857</v>
      </c>
      <c r="E34" s="18">
        <f t="shared" si="1"/>
        <v>235448972</v>
      </c>
      <c r="F34" s="6">
        <v>0</v>
      </c>
      <c r="G34" s="17">
        <v>235448972</v>
      </c>
    </row>
    <row r="35" spans="1:11" s="22" customFormat="1" ht="15.6" x14ac:dyDescent="0.3">
      <c r="A35" s="20" t="s">
        <v>124</v>
      </c>
      <c r="B35" s="21">
        <v>666269815.86000001</v>
      </c>
      <c r="C35" s="21">
        <v>373496796</v>
      </c>
      <c r="D35" s="24">
        <f t="shared" si="0"/>
        <v>2.2757213631864062</v>
      </c>
      <c r="E35" s="18">
        <f t="shared" si="1"/>
        <v>292773019.86000001</v>
      </c>
      <c r="F35" s="21">
        <v>38398119</v>
      </c>
      <c r="G35" s="21">
        <v>254374900.86000001</v>
      </c>
    </row>
    <row r="36" spans="1:11" x14ac:dyDescent="0.3">
      <c r="A36" s="6" t="s">
        <v>111</v>
      </c>
      <c r="B36" s="17">
        <v>8760364</v>
      </c>
      <c r="C36" s="17">
        <v>4452104.57</v>
      </c>
      <c r="D36" s="19">
        <f t="shared" si="0"/>
        <v>2.0333882261124652</v>
      </c>
      <c r="E36" s="18">
        <f t="shared" si="1"/>
        <v>4308259.43</v>
      </c>
      <c r="F36" s="17">
        <v>1267000</v>
      </c>
      <c r="G36" s="17">
        <v>3041259.43</v>
      </c>
    </row>
    <row r="37" spans="1:11" x14ac:dyDescent="0.3">
      <c r="A37" s="6" t="s">
        <v>112</v>
      </c>
      <c r="B37" s="17">
        <v>8233522</v>
      </c>
      <c r="C37" s="17">
        <v>3000000</v>
      </c>
      <c r="D37" s="19">
        <f t="shared" si="0"/>
        <v>1.5732277422355347</v>
      </c>
      <c r="E37" s="18">
        <f t="shared" si="1"/>
        <v>5233522</v>
      </c>
      <c r="F37" s="17">
        <v>2293744</v>
      </c>
      <c r="G37" s="17">
        <v>2939778</v>
      </c>
      <c r="K37" s="15"/>
    </row>
    <row r="38" spans="1:11" s="22" customFormat="1" ht="15.6" x14ac:dyDescent="0.3">
      <c r="A38" s="20" t="s">
        <v>125</v>
      </c>
      <c r="B38" s="21">
        <v>16993886</v>
      </c>
      <c r="C38" s="21">
        <v>7452104.5700000003</v>
      </c>
      <c r="D38" s="24">
        <f t="shared" si="0"/>
        <v>1.7809971989685369</v>
      </c>
      <c r="E38" s="18">
        <f t="shared" si="1"/>
        <v>9541781.4299999997</v>
      </c>
      <c r="F38" s="21">
        <v>3560744</v>
      </c>
      <c r="G38" s="21">
        <v>5981037.4299999997</v>
      </c>
    </row>
    <row r="39" spans="1:11" x14ac:dyDescent="0.3">
      <c r="A39" s="6" t="s">
        <v>111</v>
      </c>
      <c r="B39" s="17">
        <v>1036768527</v>
      </c>
      <c r="C39" s="17">
        <v>804064277.20000005</v>
      </c>
      <c r="D39" s="19">
        <f t="shared" si="0"/>
        <v>4.4553055128604715</v>
      </c>
      <c r="E39" s="18">
        <f t="shared" si="1"/>
        <v>232704249.79999995</v>
      </c>
      <c r="F39" s="17">
        <v>137762714.44</v>
      </c>
      <c r="G39" s="17">
        <v>94941535.359999999</v>
      </c>
    </row>
    <row r="40" spans="1:11" x14ac:dyDescent="0.3">
      <c r="A40" s="6" t="s">
        <v>112</v>
      </c>
      <c r="B40" s="17">
        <v>55919052</v>
      </c>
      <c r="C40" s="17">
        <v>150853939.5</v>
      </c>
      <c r="D40" s="19">
        <f t="shared" si="0"/>
        <v>-0.58902531485066545</v>
      </c>
      <c r="E40" s="18">
        <f t="shared" si="1"/>
        <v>-94934887.5</v>
      </c>
      <c r="F40" s="17">
        <v>829858683.60000002</v>
      </c>
      <c r="G40" s="17">
        <v>-924793571.10000002</v>
      </c>
    </row>
    <row r="41" spans="1:11" x14ac:dyDescent="0.3">
      <c r="A41" s="6" t="s">
        <v>119</v>
      </c>
      <c r="B41" s="17">
        <v>1054412685</v>
      </c>
      <c r="C41" s="17">
        <v>613804749</v>
      </c>
      <c r="D41" s="19">
        <f t="shared" si="0"/>
        <v>2.3930860042430102</v>
      </c>
      <c r="E41" s="18">
        <f t="shared" si="1"/>
        <v>440607936</v>
      </c>
      <c r="F41" s="6">
        <v>0</v>
      </c>
      <c r="G41" s="17">
        <v>440607936</v>
      </c>
    </row>
    <row r="42" spans="1:11" s="15" customFormat="1" x14ac:dyDescent="0.3">
      <c r="A42" s="16" t="s">
        <v>126</v>
      </c>
      <c r="B42" s="18">
        <v>2147100264</v>
      </c>
      <c r="C42" s="18">
        <v>1568722965.7</v>
      </c>
      <c r="D42" s="24">
        <f t="shared" si="0"/>
        <v>3.712283089794294</v>
      </c>
      <c r="E42" s="18">
        <f t="shared" si="1"/>
        <v>578377298.29999995</v>
      </c>
      <c r="F42" s="18">
        <v>967621398.03999996</v>
      </c>
      <c r="G42" s="18">
        <v>-389244099.74000001</v>
      </c>
    </row>
    <row r="43" spans="1:11" x14ac:dyDescent="0.3">
      <c r="A43" s="6" t="s">
        <v>111</v>
      </c>
      <c r="B43" s="17">
        <v>98243154</v>
      </c>
      <c r="C43" s="17">
        <v>79257262</v>
      </c>
      <c r="D43" s="19">
        <f t="shared" si="0"/>
        <v>5.1745345438602515</v>
      </c>
      <c r="E43" s="18">
        <f t="shared" si="1"/>
        <v>18985892</v>
      </c>
      <c r="F43" s="17">
        <v>38364360</v>
      </c>
      <c r="G43" s="17">
        <v>-19378468</v>
      </c>
    </row>
    <row r="44" spans="1:11" x14ac:dyDescent="0.3">
      <c r="A44" s="6" t="s">
        <v>112</v>
      </c>
      <c r="B44" s="17">
        <v>6348955</v>
      </c>
      <c r="C44" s="17">
        <v>270938248</v>
      </c>
      <c r="D44" s="19">
        <f t="shared" si="0"/>
        <v>-2.3995509901453192E-2</v>
      </c>
      <c r="E44" s="18">
        <f t="shared" si="1"/>
        <v>-264589293</v>
      </c>
      <c r="F44" s="17">
        <v>732097986</v>
      </c>
      <c r="G44" s="17">
        <v>-996687279</v>
      </c>
    </row>
    <row r="45" spans="1:11" x14ac:dyDescent="0.3">
      <c r="A45" s="6" t="s">
        <v>119</v>
      </c>
      <c r="B45" s="17">
        <v>706753616</v>
      </c>
      <c r="C45" s="17">
        <v>409103714</v>
      </c>
      <c r="D45" s="19">
        <f t="shared" si="0"/>
        <v>2.3744459892346947</v>
      </c>
      <c r="E45" s="18">
        <f t="shared" si="1"/>
        <v>297649902</v>
      </c>
      <c r="F45" s="6">
        <v>0</v>
      </c>
      <c r="G45" s="17">
        <v>297649902</v>
      </c>
    </row>
    <row r="46" spans="1:11" s="15" customFormat="1" x14ac:dyDescent="0.3">
      <c r="A46" s="16" t="s">
        <v>127</v>
      </c>
      <c r="B46" s="18">
        <v>811345725</v>
      </c>
      <c r="C46" s="18">
        <v>759299224</v>
      </c>
      <c r="D46" s="24">
        <f t="shared" si="0"/>
        <v>15.58886206394547</v>
      </c>
      <c r="E46" s="18">
        <f t="shared" si="1"/>
        <v>52046501</v>
      </c>
      <c r="F46" s="18">
        <v>770462346</v>
      </c>
      <c r="G46" s="18">
        <v>-718415845</v>
      </c>
    </row>
    <row r="47" spans="1:11" x14ac:dyDescent="0.3">
      <c r="A47" s="6" t="s">
        <v>111</v>
      </c>
      <c r="B47" s="17">
        <v>48281896</v>
      </c>
      <c r="C47" s="17">
        <v>46102463</v>
      </c>
      <c r="D47" s="19">
        <f t="shared" si="0"/>
        <v>22.153420637385963</v>
      </c>
      <c r="E47" s="18">
        <f t="shared" si="1"/>
        <v>2179433</v>
      </c>
      <c r="F47" s="17">
        <v>3375000</v>
      </c>
      <c r="G47" s="17">
        <v>-1195567</v>
      </c>
    </row>
    <row r="48" spans="1:11" x14ac:dyDescent="0.3">
      <c r="A48" s="6" t="s">
        <v>112</v>
      </c>
      <c r="B48" s="17">
        <v>14102896</v>
      </c>
      <c r="C48" s="17">
        <v>4000000</v>
      </c>
      <c r="D48" s="19">
        <f t="shared" si="0"/>
        <v>1.3959260790173431</v>
      </c>
      <c r="E48" s="18">
        <f t="shared" si="1"/>
        <v>10102896</v>
      </c>
      <c r="F48" s="6">
        <v>0</v>
      </c>
      <c r="G48" s="17">
        <v>10102896</v>
      </c>
    </row>
    <row r="49" spans="1:7" x14ac:dyDescent="0.3">
      <c r="A49" s="6" t="s">
        <v>119</v>
      </c>
      <c r="B49" s="17">
        <v>160276190.03999999</v>
      </c>
      <c r="C49" s="17">
        <v>112675060</v>
      </c>
      <c r="D49" s="19">
        <f t="shared" si="0"/>
        <v>3.3670669142795</v>
      </c>
      <c r="E49" s="18">
        <f t="shared" si="1"/>
        <v>47601130.039999992</v>
      </c>
      <c r="F49" s="6">
        <v>0</v>
      </c>
      <c r="G49" s="17">
        <v>47601130.039999999</v>
      </c>
    </row>
    <row r="50" spans="1:7" x14ac:dyDescent="0.3">
      <c r="A50" s="6" t="s">
        <v>114</v>
      </c>
      <c r="B50" s="17">
        <v>60000000</v>
      </c>
      <c r="C50" s="6">
        <v>0</v>
      </c>
      <c r="D50" s="19">
        <f t="shared" si="0"/>
        <v>1</v>
      </c>
      <c r="E50" s="18">
        <f t="shared" si="1"/>
        <v>60000000</v>
      </c>
      <c r="F50" s="6">
        <v>0</v>
      </c>
      <c r="G50" s="17">
        <v>60000000</v>
      </c>
    </row>
    <row r="51" spans="1:7" s="15" customFormat="1" x14ac:dyDescent="0.3">
      <c r="A51" s="16" t="s">
        <v>128</v>
      </c>
      <c r="B51" s="18">
        <v>282660982.04000002</v>
      </c>
      <c r="C51" s="18">
        <v>162777523</v>
      </c>
      <c r="D51" s="24">
        <f t="shared" si="0"/>
        <v>2.3577980173702535</v>
      </c>
      <c r="E51" s="18">
        <f t="shared" si="1"/>
        <v>119883459.04000002</v>
      </c>
      <c r="F51" s="18">
        <v>3375000</v>
      </c>
      <c r="G51" s="18">
        <v>116508459.04000001</v>
      </c>
    </row>
    <row r="52" spans="1:7" x14ac:dyDescent="0.3">
      <c r="A52" s="6" t="s">
        <v>111</v>
      </c>
      <c r="B52" s="17">
        <v>13554753.380000001</v>
      </c>
      <c r="C52" s="17">
        <v>10059813</v>
      </c>
      <c r="D52" s="19">
        <f t="shared" si="0"/>
        <v>3.8783933075276087</v>
      </c>
      <c r="E52" s="18">
        <f t="shared" si="1"/>
        <v>3494940.3800000008</v>
      </c>
      <c r="F52" s="17">
        <v>2902968</v>
      </c>
      <c r="G52" s="17">
        <v>591972.38</v>
      </c>
    </row>
    <row r="53" spans="1:7" x14ac:dyDescent="0.3">
      <c r="A53" s="6" t="s">
        <v>112</v>
      </c>
      <c r="B53" s="17">
        <v>15034287.449999999</v>
      </c>
      <c r="C53" s="17">
        <v>13424597.539999999</v>
      </c>
      <c r="D53" s="19">
        <f t="shared" si="0"/>
        <v>9.3398656204535673</v>
      </c>
      <c r="E53" s="18">
        <f t="shared" si="1"/>
        <v>1609689.9100000001</v>
      </c>
      <c r="F53" s="17">
        <v>39730305</v>
      </c>
      <c r="G53" s="17">
        <v>-38120615.090000004</v>
      </c>
    </row>
    <row r="54" spans="1:7" s="15" customFormat="1" x14ac:dyDescent="0.3">
      <c r="A54" s="16" t="s">
        <v>129</v>
      </c>
      <c r="B54" s="18">
        <v>28589040.829999998</v>
      </c>
      <c r="C54" s="18">
        <v>23484410.539999999</v>
      </c>
      <c r="D54" s="24">
        <f t="shared" si="0"/>
        <v>5.6006094870388745</v>
      </c>
      <c r="E54" s="18">
        <f t="shared" si="1"/>
        <v>5104630.2899999991</v>
      </c>
      <c r="F54" s="18">
        <v>42633273</v>
      </c>
      <c r="G54" s="18">
        <v>-37528642.710000001</v>
      </c>
    </row>
    <row r="55" spans="1:7" x14ac:dyDescent="0.3">
      <c r="A55" s="6" t="s">
        <v>111</v>
      </c>
      <c r="B55" s="17">
        <v>15594170.220000001</v>
      </c>
      <c r="C55" s="17">
        <v>6939845</v>
      </c>
      <c r="D55" s="19">
        <f t="shared" si="0"/>
        <v>1.8018932526318903</v>
      </c>
      <c r="E55" s="18">
        <f t="shared" si="1"/>
        <v>8654325.2200000007</v>
      </c>
      <c r="F55" s="6">
        <v>0</v>
      </c>
      <c r="G55" s="17">
        <v>8654325.2200000007</v>
      </c>
    </row>
    <row r="56" spans="1:7" x14ac:dyDescent="0.3">
      <c r="A56" s="6" t="s">
        <v>112</v>
      </c>
      <c r="B56" s="17">
        <v>23649088.899999999</v>
      </c>
      <c r="C56" s="17">
        <v>43115038.649999999</v>
      </c>
      <c r="D56" s="19">
        <f t="shared" si="0"/>
        <v>-1.2148951992440029</v>
      </c>
      <c r="E56" s="18">
        <f t="shared" si="1"/>
        <v>-19465949.75</v>
      </c>
      <c r="F56" s="17">
        <v>26611533.719999999</v>
      </c>
      <c r="G56" s="17">
        <v>-46077483.469999999</v>
      </c>
    </row>
    <row r="57" spans="1:7" s="15" customFormat="1" x14ac:dyDescent="0.3">
      <c r="A57" s="16" t="s">
        <v>130</v>
      </c>
      <c r="B57" s="18">
        <v>39243259.119999997</v>
      </c>
      <c r="C57" s="18">
        <v>50054883.649999999</v>
      </c>
      <c r="D57" s="24">
        <f t="shared" si="0"/>
        <v>-3.6297282624926668</v>
      </c>
      <c r="E57" s="18">
        <f t="shared" si="1"/>
        <v>-10811624.530000001</v>
      </c>
      <c r="F57" s="18">
        <v>26611533.719999999</v>
      </c>
      <c r="G57" s="18">
        <v>-37423158.25</v>
      </c>
    </row>
    <row r="58" spans="1:7" x14ac:dyDescent="0.3">
      <c r="A58" s="6" t="s">
        <v>111</v>
      </c>
      <c r="B58" s="17">
        <v>24278214.399999999</v>
      </c>
      <c r="C58" s="17">
        <v>16023557</v>
      </c>
      <c r="D58" s="19">
        <f t="shared" si="0"/>
        <v>2.9411534874845322</v>
      </c>
      <c r="E58" s="18">
        <f t="shared" si="1"/>
        <v>8254657.3999999985</v>
      </c>
      <c r="F58" s="17">
        <v>6641361</v>
      </c>
      <c r="G58" s="17">
        <v>1613296.4</v>
      </c>
    </row>
    <row r="59" spans="1:7" x14ac:dyDescent="0.3">
      <c r="A59" s="6" t="s">
        <v>112</v>
      </c>
      <c r="B59" s="17">
        <v>8003040.9100000001</v>
      </c>
      <c r="C59" s="17">
        <v>9805282.3800000008</v>
      </c>
      <c r="D59" s="19">
        <f t="shared" si="0"/>
        <v>-4.4406041272593715</v>
      </c>
      <c r="E59" s="18">
        <f t="shared" si="1"/>
        <v>-1802241.4700000007</v>
      </c>
      <c r="F59" s="17">
        <v>2168180</v>
      </c>
      <c r="G59" s="17">
        <v>-3970421.47</v>
      </c>
    </row>
    <row r="60" spans="1:7" s="15" customFormat="1" x14ac:dyDescent="0.3">
      <c r="A60" s="16" t="s">
        <v>131</v>
      </c>
      <c r="B60" s="18">
        <v>32281255.309999999</v>
      </c>
      <c r="C60" s="18">
        <v>25828839.379999999</v>
      </c>
      <c r="D60" s="24">
        <f t="shared" si="0"/>
        <v>5.002971857395436</v>
      </c>
      <c r="E60" s="18">
        <f t="shared" si="1"/>
        <v>6452415.9299999997</v>
      </c>
      <c r="F60" s="18">
        <v>8809541</v>
      </c>
      <c r="G60" s="18">
        <v>-2357125.0699999998</v>
      </c>
    </row>
    <row r="61" spans="1:7" x14ac:dyDescent="0.3">
      <c r="A61" s="6" t="s">
        <v>111</v>
      </c>
      <c r="B61" s="17">
        <v>9323169</v>
      </c>
      <c r="C61" s="17">
        <v>5983942.7400000002</v>
      </c>
      <c r="D61" s="19">
        <f t="shared" si="0"/>
        <v>2.7920147585327149</v>
      </c>
      <c r="E61" s="18">
        <f t="shared" si="1"/>
        <v>3339226.26</v>
      </c>
      <c r="F61" s="6">
        <v>0</v>
      </c>
      <c r="G61" s="17">
        <v>3339226.26</v>
      </c>
    </row>
    <row r="62" spans="1:7" x14ac:dyDescent="0.3">
      <c r="A62" s="6" t="s">
        <v>112</v>
      </c>
      <c r="B62" s="17">
        <v>6381051</v>
      </c>
      <c r="C62" s="17">
        <v>12658492.27</v>
      </c>
      <c r="D62" s="19">
        <f t="shared" si="0"/>
        <v>-1.0165050895012198</v>
      </c>
      <c r="E62" s="18">
        <f t="shared" si="1"/>
        <v>-6277441.2699999996</v>
      </c>
      <c r="F62" s="17">
        <v>4724000</v>
      </c>
      <c r="G62" s="17">
        <v>-11001441.27</v>
      </c>
    </row>
    <row r="63" spans="1:7" x14ac:dyDescent="0.3">
      <c r="A63" s="6" t="s">
        <v>119</v>
      </c>
      <c r="B63" s="17">
        <v>10273396.32</v>
      </c>
      <c r="C63" s="17">
        <v>5436796.0800000001</v>
      </c>
      <c r="D63" s="19">
        <f t="shared" si="0"/>
        <v>2.1240945726785969</v>
      </c>
      <c r="E63" s="18">
        <f t="shared" si="1"/>
        <v>4836600.24</v>
      </c>
      <c r="F63" s="6">
        <v>0</v>
      </c>
      <c r="G63" s="17">
        <v>4836600.24</v>
      </c>
    </row>
    <row r="64" spans="1:7" s="15" customFormat="1" x14ac:dyDescent="0.3">
      <c r="A64" s="16" t="s">
        <v>132</v>
      </c>
      <c r="B64" s="18">
        <v>25977616.32</v>
      </c>
      <c r="C64" s="18">
        <v>24079231.09</v>
      </c>
      <c r="D64" s="24">
        <f t="shared" si="0"/>
        <v>13.68405943613457</v>
      </c>
      <c r="E64" s="18">
        <f t="shared" si="1"/>
        <v>1898385.2300000004</v>
      </c>
      <c r="F64" s="18">
        <v>4724000</v>
      </c>
      <c r="G64" s="18">
        <v>-2825614.77</v>
      </c>
    </row>
    <row r="65" spans="1:7" x14ac:dyDescent="0.3">
      <c r="A65" s="6" t="s">
        <v>111</v>
      </c>
      <c r="B65" s="17">
        <v>8149397.4400000004</v>
      </c>
      <c r="C65" s="17">
        <v>14556410.699999999</v>
      </c>
      <c r="D65" s="19">
        <f t="shared" si="0"/>
        <v>-1.2719495198922066</v>
      </c>
      <c r="E65" s="18">
        <f t="shared" si="1"/>
        <v>-6407013.2599999988</v>
      </c>
      <c r="F65" s="17">
        <v>235712</v>
      </c>
      <c r="G65" s="17">
        <v>-6642725.2599999998</v>
      </c>
    </row>
    <row r="66" spans="1:7" x14ac:dyDescent="0.3">
      <c r="A66" s="6" t="s">
        <v>112</v>
      </c>
      <c r="B66" s="17">
        <v>21876075.149999999</v>
      </c>
      <c r="C66" s="17">
        <v>29572618.359999999</v>
      </c>
      <c r="D66" s="19">
        <f t="shared" si="0"/>
        <v>-2.8423247363279596</v>
      </c>
      <c r="E66" s="18">
        <f t="shared" si="1"/>
        <v>-7696543.2100000009</v>
      </c>
      <c r="F66" s="17">
        <v>9552015</v>
      </c>
      <c r="G66" s="17">
        <v>-17248558.210000001</v>
      </c>
    </row>
    <row r="67" spans="1:7" s="15" customFormat="1" x14ac:dyDescent="0.3">
      <c r="A67" s="16" t="s">
        <v>133</v>
      </c>
      <c r="B67" s="18">
        <v>30025472.59</v>
      </c>
      <c r="C67" s="18">
        <v>44129029.060000002</v>
      </c>
      <c r="D67" s="24">
        <f t="shared" si="0"/>
        <v>-2.1289291572567435</v>
      </c>
      <c r="E67" s="18">
        <f t="shared" si="1"/>
        <v>-14103556.470000003</v>
      </c>
      <c r="F67" s="18">
        <v>9787727</v>
      </c>
      <c r="G67" s="18">
        <v>-23891283.469999999</v>
      </c>
    </row>
    <row r="68" spans="1:7" x14ac:dyDescent="0.3">
      <c r="A68" s="6" t="s">
        <v>111</v>
      </c>
      <c r="B68" s="17">
        <v>111077162.23999999</v>
      </c>
      <c r="C68" s="17">
        <v>64849006.780000001</v>
      </c>
      <c r="D68" s="19">
        <f t="shared" ref="D68:D131" si="2">B68/E68</f>
        <v>2.4028032512807513</v>
      </c>
      <c r="E68" s="18">
        <f t="shared" ref="E68:E131" si="3">B68-C68</f>
        <v>46228155.459999993</v>
      </c>
      <c r="F68" s="17">
        <v>13331308</v>
      </c>
      <c r="G68" s="17">
        <v>32896847.460000001</v>
      </c>
    </row>
    <row r="69" spans="1:7" x14ac:dyDescent="0.3">
      <c r="A69" s="6" t="s">
        <v>112</v>
      </c>
      <c r="B69" s="17">
        <v>3054021443.1500001</v>
      </c>
      <c r="C69" s="17">
        <v>459207904.74000001</v>
      </c>
      <c r="D69" s="19">
        <f t="shared" si="2"/>
        <v>1.1769714462879615</v>
      </c>
      <c r="E69" s="18">
        <f t="shared" si="3"/>
        <v>2594813538.4099998</v>
      </c>
      <c r="F69" s="17">
        <v>578453679.82000005</v>
      </c>
      <c r="G69" s="17">
        <v>2016359858.5899999</v>
      </c>
    </row>
    <row r="70" spans="1:7" x14ac:dyDescent="0.3">
      <c r="A70" s="6" t="s">
        <v>114</v>
      </c>
      <c r="B70" s="6">
        <v>0</v>
      </c>
      <c r="C70" s="6">
        <v>0</v>
      </c>
      <c r="D70" s="19" t="e">
        <f t="shared" si="2"/>
        <v>#DIV/0!</v>
      </c>
      <c r="E70" s="18">
        <f t="shared" si="3"/>
        <v>0</v>
      </c>
      <c r="F70" s="17">
        <v>13800000</v>
      </c>
      <c r="G70" s="17">
        <v>-13800000</v>
      </c>
    </row>
    <row r="71" spans="1:7" s="15" customFormat="1" x14ac:dyDescent="0.3">
      <c r="A71" s="16" t="s">
        <v>134</v>
      </c>
      <c r="B71" s="18">
        <v>3165098605.3899999</v>
      </c>
      <c r="C71" s="18">
        <v>524056911.51999998</v>
      </c>
      <c r="D71" s="24">
        <f t="shared" si="2"/>
        <v>1.1984281099144949</v>
      </c>
      <c r="E71" s="18">
        <f t="shared" si="3"/>
        <v>2641041693.8699999</v>
      </c>
      <c r="F71" s="18">
        <v>605584987.82000005</v>
      </c>
      <c r="G71" s="18">
        <v>2035456706.05</v>
      </c>
    </row>
    <row r="72" spans="1:7" x14ac:dyDescent="0.3">
      <c r="A72" s="6" t="s">
        <v>111</v>
      </c>
      <c r="B72" s="17">
        <v>5672306.7000000002</v>
      </c>
      <c r="C72" s="17">
        <v>8839034.8800000008</v>
      </c>
      <c r="D72" s="19">
        <f t="shared" si="2"/>
        <v>-1.7912199524494707</v>
      </c>
      <c r="E72" s="18">
        <f t="shared" si="3"/>
        <v>-3166728.1800000006</v>
      </c>
      <c r="F72" s="17">
        <v>6704959</v>
      </c>
      <c r="G72" s="17">
        <v>-9871687.1799999997</v>
      </c>
    </row>
    <row r="73" spans="1:7" x14ac:dyDescent="0.3">
      <c r="A73" s="6" t="s">
        <v>112</v>
      </c>
      <c r="B73" s="17">
        <v>7241507</v>
      </c>
      <c r="C73" s="17">
        <v>4646500</v>
      </c>
      <c r="D73" s="19">
        <f t="shared" si="2"/>
        <v>2.7905539368487253</v>
      </c>
      <c r="E73" s="18">
        <f t="shared" si="3"/>
        <v>2595007</v>
      </c>
      <c r="F73" s="17">
        <v>1842870</v>
      </c>
      <c r="G73" s="17">
        <v>752137</v>
      </c>
    </row>
    <row r="74" spans="1:7" s="15" customFormat="1" x14ac:dyDescent="0.3">
      <c r="A74" s="16" t="s">
        <v>135</v>
      </c>
      <c r="B74" s="18">
        <v>12913813.699999999</v>
      </c>
      <c r="C74" s="18">
        <v>13485534.880000001</v>
      </c>
      <c r="D74" s="24">
        <f t="shared" si="2"/>
        <v>-22.587607651687776</v>
      </c>
      <c r="E74" s="18">
        <f t="shared" si="3"/>
        <v>-571721.18000000156</v>
      </c>
      <c r="F74" s="18">
        <v>8547829</v>
      </c>
      <c r="G74" s="18">
        <v>-9119550.1799999997</v>
      </c>
    </row>
    <row r="75" spans="1:7" x14ac:dyDescent="0.3">
      <c r="A75" s="6" t="s">
        <v>111</v>
      </c>
      <c r="B75" s="17">
        <v>3526412.92</v>
      </c>
      <c r="C75" s="17">
        <v>2849526</v>
      </c>
      <c r="D75" s="19">
        <f t="shared" si="2"/>
        <v>5.2097519036119069</v>
      </c>
      <c r="E75" s="18">
        <f t="shared" si="3"/>
        <v>676886.91999999993</v>
      </c>
      <c r="F75" s="6">
        <v>0</v>
      </c>
      <c r="G75" s="17">
        <v>676886.92</v>
      </c>
    </row>
    <row r="76" spans="1:7" x14ac:dyDescent="0.3">
      <c r="A76" s="6" t="s">
        <v>112</v>
      </c>
      <c r="B76" s="17">
        <v>7213503.3499999996</v>
      </c>
      <c r="C76" s="17">
        <v>4000000</v>
      </c>
      <c r="D76" s="19">
        <f t="shared" si="2"/>
        <v>2.2447474187322696</v>
      </c>
      <c r="E76" s="18">
        <f t="shared" si="3"/>
        <v>3213503.3499999996</v>
      </c>
      <c r="F76" s="17">
        <v>391593</v>
      </c>
      <c r="G76" s="17">
        <v>2821910.35</v>
      </c>
    </row>
    <row r="77" spans="1:7" s="15" customFormat="1" x14ac:dyDescent="0.3">
      <c r="A77" s="16" t="s">
        <v>136</v>
      </c>
      <c r="B77" s="18">
        <v>10739916.27</v>
      </c>
      <c r="C77" s="18">
        <v>6849526</v>
      </c>
      <c r="D77" s="24">
        <f t="shared" si="2"/>
        <v>2.7606269614693439</v>
      </c>
      <c r="E77" s="18">
        <f t="shared" si="3"/>
        <v>3890390.2699999996</v>
      </c>
      <c r="F77" s="18">
        <v>391593</v>
      </c>
      <c r="G77" s="18">
        <v>3498797.27</v>
      </c>
    </row>
    <row r="78" spans="1:7" x14ac:dyDescent="0.3">
      <c r="A78" s="6" t="s">
        <v>111</v>
      </c>
      <c r="B78" s="17">
        <v>18522937</v>
      </c>
      <c r="C78" s="17">
        <v>7730864</v>
      </c>
      <c r="D78" s="19">
        <f t="shared" si="2"/>
        <v>1.7163465258250199</v>
      </c>
      <c r="E78" s="18">
        <f t="shared" si="3"/>
        <v>10792073</v>
      </c>
      <c r="F78" s="17">
        <v>49000</v>
      </c>
      <c r="G78" s="17">
        <v>10743073</v>
      </c>
    </row>
    <row r="79" spans="1:7" x14ac:dyDescent="0.3">
      <c r="A79" s="6" t="s">
        <v>112</v>
      </c>
      <c r="B79" s="17">
        <v>8881449</v>
      </c>
      <c r="C79" s="17">
        <v>5342107</v>
      </c>
      <c r="D79" s="19">
        <f t="shared" si="2"/>
        <v>2.50935032556899</v>
      </c>
      <c r="E79" s="18">
        <f t="shared" si="3"/>
        <v>3539342</v>
      </c>
      <c r="F79" s="17">
        <v>7420660</v>
      </c>
      <c r="G79" s="17">
        <v>-3881318</v>
      </c>
    </row>
    <row r="80" spans="1:7" x14ac:dyDescent="0.3">
      <c r="A80" s="6" t="s">
        <v>119</v>
      </c>
      <c r="B80" s="17">
        <v>72347921.989999995</v>
      </c>
      <c r="C80" s="17">
        <v>32871294.550000001</v>
      </c>
      <c r="D80" s="19">
        <f t="shared" si="2"/>
        <v>1.8326773759982573</v>
      </c>
      <c r="E80" s="18">
        <f t="shared" si="3"/>
        <v>39476627.439999998</v>
      </c>
      <c r="F80" s="6">
        <v>0</v>
      </c>
      <c r="G80" s="17">
        <v>39476627.439999998</v>
      </c>
    </row>
    <row r="81" spans="1:7" s="15" customFormat="1" x14ac:dyDescent="0.3">
      <c r="A81" s="16" t="s">
        <v>137</v>
      </c>
      <c r="B81" s="18">
        <v>99752307.989999995</v>
      </c>
      <c r="C81" s="18">
        <v>45944265.549999997</v>
      </c>
      <c r="D81" s="24">
        <f t="shared" si="2"/>
        <v>1.853854990194659</v>
      </c>
      <c r="E81" s="18">
        <f t="shared" si="3"/>
        <v>53808042.439999998</v>
      </c>
      <c r="F81" s="18">
        <v>7469660</v>
      </c>
      <c r="G81" s="18">
        <v>46338382.439999998</v>
      </c>
    </row>
    <row r="82" spans="1:7" x14ac:dyDescent="0.3">
      <c r="A82" s="6" t="s">
        <v>111</v>
      </c>
      <c r="B82" s="17">
        <v>8308480.5</v>
      </c>
      <c r="C82" s="17">
        <v>5388016</v>
      </c>
      <c r="D82" s="19">
        <f t="shared" si="2"/>
        <v>2.8449174780244717</v>
      </c>
      <c r="E82" s="18">
        <f t="shared" si="3"/>
        <v>2920464.5</v>
      </c>
      <c r="F82" s="17">
        <v>1687400</v>
      </c>
      <c r="G82" s="17">
        <v>1233064.5</v>
      </c>
    </row>
    <row r="83" spans="1:7" x14ac:dyDescent="0.3">
      <c r="A83" s="6" t="s">
        <v>112</v>
      </c>
      <c r="B83" s="17">
        <v>7060315.0499999998</v>
      </c>
      <c r="C83" s="17">
        <v>17744788.579999998</v>
      </c>
      <c r="D83" s="19">
        <f t="shared" si="2"/>
        <v>-0.66080139841948782</v>
      </c>
      <c r="E83" s="18">
        <f t="shared" si="3"/>
        <v>-10684473.529999997</v>
      </c>
      <c r="F83" s="17">
        <v>51240651</v>
      </c>
      <c r="G83" s="17">
        <v>-61925124.530000001</v>
      </c>
    </row>
    <row r="84" spans="1:7" s="15" customFormat="1" x14ac:dyDescent="0.3">
      <c r="A84" s="16" t="s">
        <v>138</v>
      </c>
      <c r="B84" s="18">
        <v>15368795.550000001</v>
      </c>
      <c r="C84" s="18">
        <v>23132804.579999998</v>
      </c>
      <c r="D84" s="19">
        <f t="shared" si="2"/>
        <v>-1.979492230188713</v>
      </c>
      <c r="E84" s="18">
        <f t="shared" si="3"/>
        <v>-7764009.0299999975</v>
      </c>
      <c r="F84" s="18">
        <v>52928051</v>
      </c>
      <c r="G84" s="18">
        <v>-60692060.030000001</v>
      </c>
    </row>
    <row r="85" spans="1:7" x14ac:dyDescent="0.3">
      <c r="A85" s="6" t="s">
        <v>111</v>
      </c>
      <c r="B85" s="17">
        <v>17335518.280000001</v>
      </c>
      <c r="C85" s="17">
        <v>13263717</v>
      </c>
      <c r="D85" s="19">
        <f t="shared" si="2"/>
        <v>4.2574568570301139</v>
      </c>
      <c r="E85" s="18">
        <f t="shared" si="3"/>
        <v>4071801.2800000012</v>
      </c>
      <c r="F85" s="17">
        <v>340000</v>
      </c>
      <c r="G85" s="17">
        <v>3731801.28</v>
      </c>
    </row>
    <row r="86" spans="1:7" x14ac:dyDescent="0.3">
      <c r="A86" s="6" t="s">
        <v>112</v>
      </c>
      <c r="B86" s="17">
        <v>14400637.949999999</v>
      </c>
      <c r="C86" s="17">
        <v>6926916.9400000004</v>
      </c>
      <c r="D86" s="19">
        <f t="shared" si="2"/>
        <v>1.9268364353889631</v>
      </c>
      <c r="E86" s="18">
        <f t="shared" si="3"/>
        <v>7473721.0099999988</v>
      </c>
      <c r="F86" s="17">
        <v>22573042.5</v>
      </c>
      <c r="G86" s="17">
        <v>-15099321.49</v>
      </c>
    </row>
    <row r="87" spans="1:7" s="15" customFormat="1" x14ac:dyDescent="0.3">
      <c r="A87" s="16" t="s">
        <v>139</v>
      </c>
      <c r="B87" s="18">
        <v>31736156.23</v>
      </c>
      <c r="C87" s="18">
        <v>20190633.940000001</v>
      </c>
      <c r="D87" s="24">
        <f t="shared" si="2"/>
        <v>2.7487848044334773</v>
      </c>
      <c r="E87" s="18">
        <f t="shared" si="3"/>
        <v>11545522.289999999</v>
      </c>
      <c r="F87" s="18">
        <v>22913042.5</v>
      </c>
      <c r="G87" s="18">
        <v>-11367520.210000001</v>
      </c>
    </row>
    <row r="88" spans="1:7" x14ac:dyDescent="0.3">
      <c r="A88" s="6" t="s">
        <v>111</v>
      </c>
      <c r="B88" s="17">
        <v>6611986661.7600002</v>
      </c>
      <c r="C88" s="17">
        <v>4723579032.8299999</v>
      </c>
      <c r="D88" s="19">
        <f t="shared" si="2"/>
        <v>3.5013556185993857</v>
      </c>
      <c r="E88" s="18">
        <f t="shared" si="3"/>
        <v>1888407628.9300003</v>
      </c>
      <c r="F88" s="17">
        <v>195983604</v>
      </c>
      <c r="G88" s="17">
        <v>1692424024.9300001</v>
      </c>
    </row>
    <row r="89" spans="1:7" x14ac:dyDescent="0.3">
      <c r="A89" s="6" t="s">
        <v>112</v>
      </c>
      <c r="B89" s="17">
        <v>1217015392.75</v>
      </c>
      <c r="C89" s="17">
        <v>1371046820.9200001</v>
      </c>
      <c r="D89" s="19">
        <f t="shared" si="2"/>
        <v>-7.9010849098069453</v>
      </c>
      <c r="E89" s="18">
        <f t="shared" si="3"/>
        <v>-154031428.17000008</v>
      </c>
      <c r="F89" s="17">
        <v>8297373181.3100004</v>
      </c>
      <c r="G89" s="17">
        <v>-8451404609.4799995</v>
      </c>
    </row>
    <row r="90" spans="1:7" x14ac:dyDescent="0.3">
      <c r="A90" s="6" t="s">
        <v>114</v>
      </c>
      <c r="B90" s="17">
        <v>200000000</v>
      </c>
      <c r="C90" s="17">
        <v>17050000</v>
      </c>
      <c r="D90" s="19">
        <f t="shared" si="2"/>
        <v>1.0931948619841487</v>
      </c>
      <c r="E90" s="18">
        <f t="shared" si="3"/>
        <v>182950000</v>
      </c>
      <c r="F90" s="17">
        <v>1557273625.24</v>
      </c>
      <c r="G90" s="17">
        <v>-1374323625.24</v>
      </c>
    </row>
    <row r="91" spans="1:7" s="15" customFormat="1" x14ac:dyDescent="0.3">
      <c r="A91" s="16" t="s">
        <v>140</v>
      </c>
      <c r="B91" s="18">
        <v>8029002054.5100002</v>
      </c>
      <c r="C91" s="18">
        <v>6111675853.75</v>
      </c>
      <c r="D91" s="24">
        <f t="shared" si="2"/>
        <v>4.1876035759212078</v>
      </c>
      <c r="E91" s="18">
        <f t="shared" si="3"/>
        <v>1917326200.7600002</v>
      </c>
      <c r="F91" s="18">
        <v>10050630410.549999</v>
      </c>
      <c r="G91" s="18">
        <v>-8133304209.79</v>
      </c>
    </row>
    <row r="92" spans="1:7" x14ac:dyDescent="0.3">
      <c r="A92" s="6" t="s">
        <v>111</v>
      </c>
      <c r="B92" s="17">
        <v>1784602323</v>
      </c>
      <c r="C92" s="17">
        <v>1385487545</v>
      </c>
      <c r="D92" s="19">
        <f t="shared" si="2"/>
        <v>4.4714012644252428</v>
      </c>
      <c r="E92" s="18">
        <f t="shared" si="3"/>
        <v>399114778</v>
      </c>
      <c r="F92" s="17">
        <v>3352096</v>
      </c>
      <c r="G92" s="17">
        <v>395762682</v>
      </c>
    </row>
    <row r="93" spans="1:7" x14ac:dyDescent="0.3">
      <c r="A93" s="6" t="s">
        <v>112</v>
      </c>
      <c r="B93" s="17">
        <v>102883966</v>
      </c>
      <c r="C93" s="17">
        <v>35267856</v>
      </c>
      <c r="D93" s="19">
        <f t="shared" si="2"/>
        <v>1.5215895442668914</v>
      </c>
      <c r="E93" s="18">
        <f t="shared" si="3"/>
        <v>67616110</v>
      </c>
      <c r="F93" s="17">
        <v>12575320</v>
      </c>
      <c r="G93" s="17">
        <v>55040790</v>
      </c>
    </row>
    <row r="94" spans="1:7" s="15" customFormat="1" x14ac:dyDescent="0.3">
      <c r="A94" s="16" t="s">
        <v>141</v>
      </c>
      <c r="B94" s="18">
        <v>1887486289</v>
      </c>
      <c r="C94" s="18">
        <v>1420755401</v>
      </c>
      <c r="D94" s="24">
        <f t="shared" si="2"/>
        <v>4.0440569448662673</v>
      </c>
      <c r="E94" s="18">
        <f t="shared" si="3"/>
        <v>466730888</v>
      </c>
      <c r="F94" s="18">
        <v>15927416</v>
      </c>
      <c r="G94" s="18">
        <v>450803472</v>
      </c>
    </row>
    <row r="95" spans="1:7" x14ac:dyDescent="0.3">
      <c r="A95" s="6" t="s">
        <v>111</v>
      </c>
      <c r="B95" s="17">
        <v>26297022.620000001</v>
      </c>
      <c r="C95" s="17">
        <v>25144267</v>
      </c>
      <c r="D95" s="19">
        <f t="shared" si="2"/>
        <v>22.812313524006047</v>
      </c>
      <c r="E95" s="18">
        <f t="shared" si="3"/>
        <v>1152755.620000001</v>
      </c>
      <c r="F95" s="17">
        <v>21173940</v>
      </c>
      <c r="G95" s="17">
        <v>-20021184.379999999</v>
      </c>
    </row>
    <row r="96" spans="1:7" x14ac:dyDescent="0.3">
      <c r="A96" s="6" t="s">
        <v>112</v>
      </c>
      <c r="B96" s="17">
        <v>11729664.25</v>
      </c>
      <c r="C96" s="17">
        <v>37369686.049999997</v>
      </c>
      <c r="D96" s="19">
        <f t="shared" si="2"/>
        <v>-0.45747481579754357</v>
      </c>
      <c r="E96" s="18">
        <f t="shared" si="3"/>
        <v>-25640021.799999997</v>
      </c>
      <c r="F96" s="17">
        <v>23725861</v>
      </c>
      <c r="G96" s="17">
        <v>-49365882.799999997</v>
      </c>
    </row>
    <row r="97" spans="1:7" s="15" customFormat="1" x14ac:dyDescent="0.3">
      <c r="A97" s="16" t="s">
        <v>142</v>
      </c>
      <c r="B97" s="18">
        <v>38026686.869999997</v>
      </c>
      <c r="C97" s="18">
        <v>62513953.049999997</v>
      </c>
      <c r="D97" s="24">
        <f t="shared" si="2"/>
        <v>-1.5529167931803809</v>
      </c>
      <c r="E97" s="18">
        <f t="shared" si="3"/>
        <v>-24487266.18</v>
      </c>
      <c r="F97" s="18">
        <v>44899801</v>
      </c>
      <c r="G97" s="18">
        <v>-69387067.180000007</v>
      </c>
    </row>
    <row r="98" spans="1:7" x14ac:dyDescent="0.3">
      <c r="A98" s="6" t="s">
        <v>111</v>
      </c>
      <c r="B98" s="17">
        <v>8079402.2999999998</v>
      </c>
      <c r="C98" s="17">
        <v>2631229</v>
      </c>
      <c r="D98" s="19">
        <f t="shared" si="2"/>
        <v>1.4829561864340843</v>
      </c>
      <c r="E98" s="18">
        <f t="shared" si="3"/>
        <v>5448173.2999999998</v>
      </c>
      <c r="F98" s="17">
        <v>739366</v>
      </c>
      <c r="G98" s="17">
        <v>4708807.3</v>
      </c>
    </row>
    <row r="99" spans="1:7" x14ac:dyDescent="0.3">
      <c r="A99" s="6" t="s">
        <v>112</v>
      </c>
      <c r="B99" s="17">
        <v>16457268.949999999</v>
      </c>
      <c r="C99" s="17">
        <v>4000000</v>
      </c>
      <c r="D99" s="19">
        <f t="shared" si="2"/>
        <v>1.32109766723789</v>
      </c>
      <c r="E99" s="18">
        <f t="shared" si="3"/>
        <v>12457268.949999999</v>
      </c>
      <c r="F99" s="17">
        <v>5196988</v>
      </c>
      <c r="G99" s="17">
        <v>7260280.9500000002</v>
      </c>
    </row>
    <row r="100" spans="1:7" s="15" customFormat="1" x14ac:dyDescent="0.3">
      <c r="A100" s="16" t="s">
        <v>143</v>
      </c>
      <c r="B100" s="18">
        <v>24536671.25</v>
      </c>
      <c r="C100" s="18">
        <v>6631229</v>
      </c>
      <c r="D100" s="24">
        <f t="shared" si="2"/>
        <v>1.370347121697036</v>
      </c>
      <c r="E100" s="18">
        <f t="shared" si="3"/>
        <v>17905442.25</v>
      </c>
      <c r="F100" s="18">
        <v>5936354</v>
      </c>
      <c r="G100" s="18">
        <v>11969088.25</v>
      </c>
    </row>
    <row r="101" spans="1:7" x14ac:dyDescent="0.3">
      <c r="A101" s="6" t="s">
        <v>111</v>
      </c>
      <c r="B101" s="17">
        <v>26969141.579999998</v>
      </c>
      <c r="C101" s="17">
        <v>6452966</v>
      </c>
      <c r="D101" s="19">
        <f t="shared" si="2"/>
        <v>1.3145306480166126</v>
      </c>
      <c r="E101" s="18">
        <f t="shared" si="3"/>
        <v>20516175.579999998</v>
      </c>
      <c r="F101" s="17">
        <v>256257.5</v>
      </c>
      <c r="G101" s="17">
        <v>20259918.079999998</v>
      </c>
    </row>
    <row r="102" spans="1:7" x14ac:dyDescent="0.3">
      <c r="A102" s="6" t="s">
        <v>112</v>
      </c>
      <c r="B102" s="17">
        <v>425265827.75</v>
      </c>
      <c r="C102" s="17">
        <v>34108585.100000001</v>
      </c>
      <c r="D102" s="19">
        <f t="shared" si="2"/>
        <v>1.0871991654019295</v>
      </c>
      <c r="E102" s="18">
        <f t="shared" si="3"/>
        <v>391157242.64999998</v>
      </c>
      <c r="F102" s="17">
        <v>921487090.79999995</v>
      </c>
      <c r="G102" s="17">
        <v>-530329848.14999998</v>
      </c>
    </row>
    <row r="103" spans="1:7" s="15" customFormat="1" x14ac:dyDescent="0.3">
      <c r="A103" s="16" t="s">
        <v>144</v>
      </c>
      <c r="B103" s="18">
        <v>452234969.32999998</v>
      </c>
      <c r="C103" s="18">
        <v>40561551.100000001</v>
      </c>
      <c r="D103" s="24">
        <f t="shared" si="2"/>
        <v>1.0985284677218059</v>
      </c>
      <c r="E103" s="18">
        <f t="shared" si="3"/>
        <v>411673418.22999996</v>
      </c>
      <c r="F103" s="18">
        <v>921743348.29999995</v>
      </c>
      <c r="G103" s="18">
        <v>-510069930.06999999</v>
      </c>
    </row>
    <row r="104" spans="1:7" x14ac:dyDescent="0.3">
      <c r="A104" s="6" t="s">
        <v>111</v>
      </c>
      <c r="B104" s="17">
        <v>7153684</v>
      </c>
      <c r="C104" s="17">
        <v>4031328</v>
      </c>
      <c r="D104" s="19">
        <f t="shared" si="2"/>
        <v>2.2911173485662748</v>
      </c>
      <c r="E104" s="18">
        <f t="shared" si="3"/>
        <v>3122356</v>
      </c>
      <c r="F104" s="17">
        <v>3924963</v>
      </c>
      <c r="G104" s="17">
        <v>-802607</v>
      </c>
    </row>
    <row r="105" spans="1:7" x14ac:dyDescent="0.3">
      <c r="A105" s="6" t="s">
        <v>112</v>
      </c>
      <c r="B105" s="17">
        <v>14483641.300000001</v>
      </c>
      <c r="C105" s="17">
        <v>5850000</v>
      </c>
      <c r="D105" s="19">
        <f t="shared" si="2"/>
        <v>1.677582007026398</v>
      </c>
      <c r="E105" s="18">
        <f t="shared" si="3"/>
        <v>8633641.3000000007</v>
      </c>
      <c r="F105" s="17">
        <v>6042794</v>
      </c>
      <c r="G105" s="17">
        <v>2590847.2999999998</v>
      </c>
    </row>
    <row r="106" spans="1:7" x14ac:dyDescent="0.3">
      <c r="A106" s="6" t="s">
        <v>114</v>
      </c>
      <c r="B106" s="17">
        <v>64000000</v>
      </c>
      <c r="C106" s="6">
        <v>0</v>
      </c>
      <c r="D106" s="19">
        <f t="shared" si="2"/>
        <v>1</v>
      </c>
      <c r="E106" s="18">
        <f t="shared" si="3"/>
        <v>64000000</v>
      </c>
      <c r="F106" s="17">
        <v>995964960.5</v>
      </c>
      <c r="G106" s="17">
        <v>-931964960.5</v>
      </c>
    </row>
    <row r="107" spans="1:7" s="15" customFormat="1" x14ac:dyDescent="0.3">
      <c r="A107" s="16" t="s">
        <v>145</v>
      </c>
      <c r="B107" s="18">
        <v>85637325.299999997</v>
      </c>
      <c r="C107" s="18">
        <v>9881328</v>
      </c>
      <c r="D107" s="24">
        <f t="shared" si="2"/>
        <v>1.1304362473226921</v>
      </c>
      <c r="E107" s="18">
        <f t="shared" si="3"/>
        <v>75755997.299999997</v>
      </c>
      <c r="F107" s="18">
        <v>1005932717.5</v>
      </c>
      <c r="G107" s="18">
        <v>-930176720.20000005</v>
      </c>
    </row>
    <row r="108" spans="1:7" x14ac:dyDescent="0.3">
      <c r="A108" s="6" t="s">
        <v>111</v>
      </c>
      <c r="B108" s="17">
        <v>84582412</v>
      </c>
      <c r="C108" s="17">
        <v>33398827.100000001</v>
      </c>
      <c r="D108" s="19">
        <f t="shared" si="2"/>
        <v>1.6525300477731877</v>
      </c>
      <c r="E108" s="18">
        <f t="shared" si="3"/>
        <v>51183584.899999999</v>
      </c>
      <c r="F108" s="17">
        <v>668400</v>
      </c>
      <c r="G108" s="17">
        <v>50515184.899999999</v>
      </c>
    </row>
    <row r="109" spans="1:7" x14ac:dyDescent="0.3">
      <c r="A109" s="6" t="s">
        <v>112</v>
      </c>
      <c r="B109" s="17">
        <v>106585791</v>
      </c>
      <c r="C109" s="17">
        <v>99883369.859999999</v>
      </c>
      <c r="D109" s="19">
        <f t="shared" si="2"/>
        <v>15.902580392016368</v>
      </c>
      <c r="E109" s="18">
        <f t="shared" si="3"/>
        <v>6702421.1400000006</v>
      </c>
      <c r="F109" s="17">
        <v>6393527</v>
      </c>
      <c r="G109" s="17">
        <v>308894.14</v>
      </c>
    </row>
    <row r="110" spans="1:7" x14ac:dyDescent="0.3">
      <c r="A110" s="6" t="s">
        <v>119</v>
      </c>
      <c r="B110" s="17">
        <v>1217503297</v>
      </c>
      <c r="C110" s="17">
        <v>613395947.37</v>
      </c>
      <c r="D110" s="19">
        <f t="shared" si="2"/>
        <v>2.0153757403310673</v>
      </c>
      <c r="E110" s="18">
        <f t="shared" si="3"/>
        <v>604107349.63</v>
      </c>
      <c r="F110" s="6">
        <v>0</v>
      </c>
      <c r="G110" s="17">
        <v>604107349.63</v>
      </c>
    </row>
    <row r="111" spans="1:7" s="15" customFormat="1" x14ac:dyDescent="0.3">
      <c r="A111" s="16" t="s">
        <v>146</v>
      </c>
      <c r="B111" s="18">
        <v>1408671500</v>
      </c>
      <c r="C111" s="18">
        <v>746678144.33000004</v>
      </c>
      <c r="D111" s="24">
        <f t="shared" si="2"/>
        <v>2.1279239254211109</v>
      </c>
      <c r="E111" s="18">
        <f t="shared" si="3"/>
        <v>661993355.66999996</v>
      </c>
      <c r="F111" s="18">
        <v>7061927</v>
      </c>
      <c r="G111" s="18">
        <v>654931428.66999996</v>
      </c>
    </row>
    <row r="112" spans="1:7" x14ac:dyDescent="0.3">
      <c r="A112" s="6" t="s">
        <v>111</v>
      </c>
      <c r="B112" s="17">
        <v>414026091</v>
      </c>
      <c r="C112" s="17">
        <v>341708146.67000002</v>
      </c>
      <c r="D112" s="19">
        <f t="shared" si="2"/>
        <v>5.7250810270646433</v>
      </c>
      <c r="E112" s="18">
        <f t="shared" si="3"/>
        <v>72317944.329999983</v>
      </c>
      <c r="F112" s="17">
        <v>6281592.5999999996</v>
      </c>
      <c r="G112" s="17">
        <v>66036351.729999997</v>
      </c>
    </row>
    <row r="113" spans="1:7" x14ac:dyDescent="0.3">
      <c r="A113" s="6" t="s">
        <v>112</v>
      </c>
      <c r="B113" s="17">
        <v>39507422</v>
      </c>
      <c r="C113" s="17">
        <v>176659135</v>
      </c>
      <c r="D113" s="19">
        <f t="shared" si="2"/>
        <v>-0.28805635114451689</v>
      </c>
      <c r="E113" s="18">
        <f t="shared" si="3"/>
        <v>-137151713</v>
      </c>
      <c r="F113" s="17">
        <v>1682807400</v>
      </c>
      <c r="G113" s="17">
        <v>-1819959113</v>
      </c>
    </row>
    <row r="114" spans="1:7" s="15" customFormat="1" x14ac:dyDescent="0.3">
      <c r="A114" s="16" t="s">
        <v>147</v>
      </c>
      <c r="B114" s="18">
        <v>453533513</v>
      </c>
      <c r="C114" s="18">
        <v>518367281.67000002</v>
      </c>
      <c r="D114" s="24">
        <f t="shared" si="2"/>
        <v>-6.9953285502877103</v>
      </c>
      <c r="E114" s="18">
        <f t="shared" si="3"/>
        <v>-64833768.670000017</v>
      </c>
      <c r="F114" s="18">
        <v>1689088992.5999999</v>
      </c>
      <c r="G114" s="18">
        <v>-1753922761.27</v>
      </c>
    </row>
    <row r="115" spans="1:7" x14ac:dyDescent="0.3">
      <c r="A115" s="6" t="s">
        <v>111</v>
      </c>
      <c r="B115" s="17">
        <v>37549973</v>
      </c>
      <c r="C115" s="17">
        <v>29234995.629999999</v>
      </c>
      <c r="D115" s="19">
        <f t="shared" si="2"/>
        <v>4.5159441005189409</v>
      </c>
      <c r="E115" s="18">
        <f t="shared" si="3"/>
        <v>8314977.370000001</v>
      </c>
      <c r="F115" s="17">
        <v>14539411.609999999</v>
      </c>
      <c r="G115" s="17">
        <v>-6224434.2400000002</v>
      </c>
    </row>
    <row r="116" spans="1:7" x14ac:dyDescent="0.3">
      <c r="A116" s="6" t="s">
        <v>112</v>
      </c>
      <c r="B116" s="17">
        <v>21706691</v>
      </c>
      <c r="C116" s="17">
        <v>10056179.9</v>
      </c>
      <c r="D116" s="19">
        <f t="shared" si="2"/>
        <v>1.8631535401052062</v>
      </c>
      <c r="E116" s="18">
        <f t="shared" si="3"/>
        <v>11650511.1</v>
      </c>
      <c r="F116" s="17">
        <v>31610538</v>
      </c>
      <c r="G116" s="17">
        <v>-19960026.899999999</v>
      </c>
    </row>
    <row r="117" spans="1:7" s="15" customFormat="1" x14ac:dyDescent="0.3">
      <c r="A117" s="16" t="s">
        <v>148</v>
      </c>
      <c r="B117" s="18">
        <v>59256664</v>
      </c>
      <c r="C117" s="18">
        <v>39291175.530000001</v>
      </c>
      <c r="D117" s="24">
        <f t="shared" si="2"/>
        <v>2.9679546327673698</v>
      </c>
      <c r="E117" s="18">
        <f t="shared" si="3"/>
        <v>19965488.469999999</v>
      </c>
      <c r="F117" s="18">
        <v>46149949.609999999</v>
      </c>
      <c r="G117" s="18">
        <v>-26184461.140000001</v>
      </c>
    </row>
    <row r="118" spans="1:7" x14ac:dyDescent="0.3">
      <c r="A118" s="6" t="s">
        <v>111</v>
      </c>
      <c r="B118" s="17">
        <v>33737030.740000002</v>
      </c>
      <c r="C118" s="17">
        <v>19987296</v>
      </c>
      <c r="D118" s="19">
        <f t="shared" si="2"/>
        <v>2.4536495705516423</v>
      </c>
      <c r="E118" s="18">
        <f t="shared" si="3"/>
        <v>13749734.740000002</v>
      </c>
      <c r="F118" s="17">
        <v>17386903</v>
      </c>
      <c r="G118" s="17">
        <v>-3637168.26</v>
      </c>
    </row>
    <row r="119" spans="1:7" x14ac:dyDescent="0.3">
      <c r="A119" s="6" t="s">
        <v>112</v>
      </c>
      <c r="B119" s="17">
        <v>20808538.050000001</v>
      </c>
      <c r="C119" s="17">
        <v>24376676.41</v>
      </c>
      <c r="D119" s="19">
        <f t="shared" si="2"/>
        <v>-5.8317632195182041</v>
      </c>
      <c r="E119" s="18">
        <f t="shared" si="3"/>
        <v>-3568138.3599999994</v>
      </c>
      <c r="F119" s="17">
        <v>71549438</v>
      </c>
      <c r="G119" s="17">
        <v>-75117576.359999999</v>
      </c>
    </row>
    <row r="120" spans="1:7" s="15" customFormat="1" x14ac:dyDescent="0.3">
      <c r="A120" s="16" t="s">
        <v>149</v>
      </c>
      <c r="B120" s="18">
        <v>54545568.789999999</v>
      </c>
      <c r="C120" s="18">
        <v>44363972.409999996</v>
      </c>
      <c r="D120" s="24">
        <f t="shared" si="2"/>
        <v>5.3572707809499693</v>
      </c>
      <c r="E120" s="18">
        <f t="shared" si="3"/>
        <v>10181596.380000003</v>
      </c>
      <c r="F120" s="18">
        <v>88936341</v>
      </c>
      <c r="G120" s="18">
        <v>-78754744.620000005</v>
      </c>
    </row>
    <row r="121" spans="1:7" x14ac:dyDescent="0.3">
      <c r="A121" s="6" t="s">
        <v>111</v>
      </c>
      <c r="B121" s="17">
        <v>14353818.48</v>
      </c>
      <c r="C121" s="17">
        <v>7462949</v>
      </c>
      <c r="D121" s="19">
        <f t="shared" si="2"/>
        <v>2.0830199326312009</v>
      </c>
      <c r="E121" s="18">
        <f t="shared" si="3"/>
        <v>6890869.4800000004</v>
      </c>
      <c r="F121" s="17">
        <v>1171992</v>
      </c>
      <c r="G121" s="17">
        <v>5718877.4800000004</v>
      </c>
    </row>
    <row r="122" spans="1:7" x14ac:dyDescent="0.3">
      <c r="A122" s="6" t="s">
        <v>112</v>
      </c>
      <c r="B122" s="17">
        <v>15265100.699999999</v>
      </c>
      <c r="C122" s="17">
        <v>12583592.85</v>
      </c>
      <c r="D122" s="19">
        <f t="shared" si="2"/>
        <v>5.6927301928278906</v>
      </c>
      <c r="E122" s="18">
        <f t="shared" si="3"/>
        <v>2681507.8499999996</v>
      </c>
      <c r="F122" s="17">
        <v>2500000</v>
      </c>
      <c r="G122" s="17">
        <v>181507.85</v>
      </c>
    </row>
    <row r="123" spans="1:7" x14ac:dyDescent="0.3">
      <c r="A123" s="6" t="s">
        <v>119</v>
      </c>
      <c r="B123" s="17">
        <v>7511774</v>
      </c>
      <c r="C123" s="17">
        <v>1877943.51</v>
      </c>
      <c r="D123" s="19">
        <f t="shared" si="2"/>
        <v>1.3333333356999884</v>
      </c>
      <c r="E123" s="18">
        <f t="shared" si="3"/>
        <v>5633830.4900000002</v>
      </c>
      <c r="F123" s="6">
        <v>0</v>
      </c>
      <c r="G123" s="17">
        <v>5633830.4900000002</v>
      </c>
    </row>
    <row r="124" spans="1:7" s="15" customFormat="1" x14ac:dyDescent="0.3">
      <c r="A124" s="16" t="s">
        <v>150</v>
      </c>
      <c r="B124" s="18">
        <v>37130693.18</v>
      </c>
      <c r="C124" s="18">
        <v>21924485.359999999</v>
      </c>
      <c r="D124" s="24">
        <f t="shared" si="2"/>
        <v>2.4418115035336929</v>
      </c>
      <c r="E124" s="18">
        <f t="shared" si="3"/>
        <v>15206207.82</v>
      </c>
      <c r="F124" s="18">
        <v>3671992</v>
      </c>
      <c r="G124" s="18">
        <v>11534215.82</v>
      </c>
    </row>
    <row r="125" spans="1:7" x14ac:dyDescent="0.3">
      <c r="A125" s="6" t="s">
        <v>111</v>
      </c>
      <c r="B125" s="17">
        <v>811506894.23000002</v>
      </c>
      <c r="C125" s="17">
        <v>213612454.66999999</v>
      </c>
      <c r="D125" s="19">
        <f t="shared" si="2"/>
        <v>1.3572745296430599</v>
      </c>
      <c r="E125" s="18">
        <f t="shared" si="3"/>
        <v>597894439.56000006</v>
      </c>
      <c r="F125" s="17">
        <v>519131075</v>
      </c>
      <c r="G125" s="17">
        <v>78763364.560000002</v>
      </c>
    </row>
    <row r="126" spans="1:7" x14ac:dyDescent="0.3">
      <c r="A126" s="6" t="s">
        <v>112</v>
      </c>
      <c r="B126" s="17">
        <v>420970419.50999999</v>
      </c>
      <c r="C126" s="17">
        <v>184297308.72</v>
      </c>
      <c r="D126" s="19">
        <f t="shared" si="2"/>
        <v>1.7786998197844577</v>
      </c>
      <c r="E126" s="18">
        <f t="shared" si="3"/>
        <v>236673110.78999999</v>
      </c>
      <c r="F126" s="17">
        <v>234380452</v>
      </c>
      <c r="G126" s="17">
        <v>2292658.79</v>
      </c>
    </row>
    <row r="127" spans="1:7" x14ac:dyDescent="0.3">
      <c r="A127" s="6" t="s">
        <v>114</v>
      </c>
      <c r="B127" s="17">
        <v>1611000000</v>
      </c>
      <c r="C127" s="17">
        <v>45650200</v>
      </c>
      <c r="D127" s="19">
        <f t="shared" si="2"/>
        <v>1.0291629385329719</v>
      </c>
      <c r="E127" s="18">
        <f t="shared" si="3"/>
        <v>1565349800</v>
      </c>
      <c r="F127" s="17">
        <v>143635920</v>
      </c>
      <c r="G127" s="17">
        <v>1421713880</v>
      </c>
    </row>
    <row r="128" spans="1:7" s="15" customFormat="1" x14ac:dyDescent="0.3">
      <c r="A128" s="16" t="s">
        <v>151</v>
      </c>
      <c r="B128" s="18">
        <v>2843477313.7399998</v>
      </c>
      <c r="C128" s="18">
        <v>443559963.38999999</v>
      </c>
      <c r="D128" s="24">
        <f t="shared" si="2"/>
        <v>1.1848230162281679</v>
      </c>
      <c r="E128" s="18">
        <f t="shared" si="3"/>
        <v>2399917350.3499999</v>
      </c>
      <c r="F128" s="18">
        <v>897147447</v>
      </c>
      <c r="G128" s="18">
        <v>1502769903.3499999</v>
      </c>
    </row>
    <row r="129" spans="1:7" x14ac:dyDescent="0.3">
      <c r="A129" s="6" t="s">
        <v>111</v>
      </c>
      <c r="B129" s="17">
        <v>60007759</v>
      </c>
      <c r="C129" s="17">
        <v>5847528</v>
      </c>
      <c r="D129" s="19">
        <f t="shared" si="2"/>
        <v>1.10796719090803</v>
      </c>
      <c r="E129" s="18">
        <f t="shared" si="3"/>
        <v>54160231</v>
      </c>
      <c r="F129" s="17">
        <v>20513965</v>
      </c>
      <c r="G129" s="17">
        <v>33646266</v>
      </c>
    </row>
    <row r="130" spans="1:7" x14ac:dyDescent="0.3">
      <c r="A130" s="6" t="s">
        <v>112</v>
      </c>
      <c r="B130" s="17">
        <v>206625872</v>
      </c>
      <c r="C130" s="17">
        <v>4457965.18</v>
      </c>
      <c r="D130" s="19">
        <f t="shared" si="2"/>
        <v>1.022050805442474</v>
      </c>
      <c r="E130" s="18">
        <f t="shared" si="3"/>
        <v>202167906.81999999</v>
      </c>
      <c r="F130" s="17">
        <v>2705467</v>
      </c>
      <c r="G130" s="17">
        <v>199462439.81999999</v>
      </c>
    </row>
    <row r="131" spans="1:7" s="15" customFormat="1" x14ac:dyDescent="0.3">
      <c r="A131" s="16" t="s">
        <v>152</v>
      </c>
      <c r="B131" s="18">
        <v>266633631</v>
      </c>
      <c r="C131" s="18">
        <v>10305493.18</v>
      </c>
      <c r="D131" s="24">
        <f t="shared" si="2"/>
        <v>1.0402042993314951</v>
      </c>
      <c r="E131" s="18">
        <f t="shared" si="3"/>
        <v>256328137.81999999</v>
      </c>
      <c r="F131" s="18">
        <v>23219432</v>
      </c>
      <c r="G131" s="18">
        <v>233108705.81999999</v>
      </c>
    </row>
    <row r="132" spans="1:7" x14ac:dyDescent="0.3">
      <c r="A132" s="6" t="s">
        <v>111</v>
      </c>
      <c r="B132" s="17">
        <v>18398058</v>
      </c>
      <c r="C132" s="17">
        <v>6313672</v>
      </c>
      <c r="D132" s="19">
        <f t="shared" ref="D132:D195" si="4">B132/E132</f>
        <v>1.5224652704738164</v>
      </c>
      <c r="E132" s="18">
        <f t="shared" ref="E132:E195" si="5">B132-C132</f>
        <v>12084386</v>
      </c>
      <c r="F132" s="6">
        <v>0</v>
      </c>
      <c r="G132" s="17">
        <v>12084386</v>
      </c>
    </row>
    <row r="133" spans="1:7" x14ac:dyDescent="0.3">
      <c r="A133" s="6" t="s">
        <v>112</v>
      </c>
      <c r="B133" s="17">
        <v>7829276</v>
      </c>
      <c r="C133" s="17">
        <v>1872042</v>
      </c>
      <c r="D133" s="19">
        <f t="shared" si="4"/>
        <v>1.3142468467748623</v>
      </c>
      <c r="E133" s="18">
        <f t="shared" si="5"/>
        <v>5957234</v>
      </c>
      <c r="F133" s="17">
        <v>4082946.35</v>
      </c>
      <c r="G133" s="17">
        <v>1874287.65</v>
      </c>
    </row>
    <row r="134" spans="1:7" s="15" customFormat="1" x14ac:dyDescent="0.3">
      <c r="A134" s="16" t="s">
        <v>153</v>
      </c>
      <c r="B134" s="18">
        <v>26227334</v>
      </c>
      <c r="C134" s="18">
        <v>8185714</v>
      </c>
      <c r="D134" s="24">
        <f t="shared" si="4"/>
        <v>1.4537128040608327</v>
      </c>
      <c r="E134" s="18">
        <f t="shared" si="5"/>
        <v>18041620</v>
      </c>
      <c r="F134" s="18">
        <v>4082946.35</v>
      </c>
      <c r="G134" s="18">
        <v>13958673.65</v>
      </c>
    </row>
    <row r="135" spans="1:7" x14ac:dyDescent="0.3">
      <c r="A135" s="6" t="s">
        <v>111</v>
      </c>
      <c r="B135" s="17">
        <v>126197248.14</v>
      </c>
      <c r="C135" s="17">
        <v>107159945.2</v>
      </c>
      <c r="D135" s="19">
        <f t="shared" si="4"/>
        <v>6.6289457355244465</v>
      </c>
      <c r="E135" s="18">
        <f t="shared" si="5"/>
        <v>19037302.939999998</v>
      </c>
      <c r="F135" s="17">
        <v>18099850</v>
      </c>
      <c r="G135" s="17">
        <v>937452.94</v>
      </c>
    </row>
    <row r="136" spans="1:7" x14ac:dyDescent="0.3">
      <c r="A136" s="6" t="s">
        <v>112</v>
      </c>
      <c r="B136" s="17">
        <v>58342769</v>
      </c>
      <c r="C136" s="17">
        <v>11825206.199999999</v>
      </c>
      <c r="D136" s="19">
        <f t="shared" si="4"/>
        <v>1.2542094961174537</v>
      </c>
      <c r="E136" s="18">
        <f t="shared" si="5"/>
        <v>46517562.799999997</v>
      </c>
      <c r="F136" s="17">
        <v>17099803</v>
      </c>
      <c r="G136" s="17">
        <v>29417759.800000001</v>
      </c>
    </row>
    <row r="137" spans="1:7" s="15" customFormat="1" x14ac:dyDescent="0.3">
      <c r="A137" s="16" t="s">
        <v>154</v>
      </c>
      <c r="B137" s="18">
        <v>184540017.13999999</v>
      </c>
      <c r="C137" s="18">
        <v>118985151.40000001</v>
      </c>
      <c r="D137" s="24">
        <f t="shared" si="4"/>
        <v>2.8150468322505948</v>
      </c>
      <c r="E137" s="18">
        <f t="shared" si="5"/>
        <v>65554865.73999998</v>
      </c>
      <c r="F137" s="18">
        <v>35199653</v>
      </c>
      <c r="G137" s="18">
        <v>30355212.739999998</v>
      </c>
    </row>
    <row r="138" spans="1:7" x14ac:dyDescent="0.3">
      <c r="A138" s="6" t="s">
        <v>111</v>
      </c>
      <c r="B138" s="17">
        <v>11121184</v>
      </c>
      <c r="C138" s="17">
        <v>7019430</v>
      </c>
      <c r="D138" s="19">
        <f t="shared" si="4"/>
        <v>2.7113239848123509</v>
      </c>
      <c r="E138" s="18">
        <f t="shared" si="5"/>
        <v>4101754</v>
      </c>
      <c r="F138" s="17">
        <v>255000</v>
      </c>
      <c r="G138" s="17">
        <v>3846754</v>
      </c>
    </row>
    <row r="139" spans="1:7" x14ac:dyDescent="0.3">
      <c r="A139" s="6" t="s">
        <v>112</v>
      </c>
      <c r="B139" s="17">
        <v>7969143</v>
      </c>
      <c r="C139" s="17">
        <v>6283760.5599999996</v>
      </c>
      <c r="D139" s="19">
        <f t="shared" si="4"/>
        <v>4.7283885312107552</v>
      </c>
      <c r="E139" s="18">
        <f t="shared" si="5"/>
        <v>1685382.4400000004</v>
      </c>
      <c r="F139" s="17">
        <v>506793</v>
      </c>
      <c r="G139" s="17">
        <v>1178589.44</v>
      </c>
    </row>
    <row r="140" spans="1:7" s="15" customFormat="1" x14ac:dyDescent="0.3">
      <c r="A140" s="16" t="s">
        <v>155</v>
      </c>
      <c r="B140" s="18">
        <v>19090327</v>
      </c>
      <c r="C140" s="18">
        <v>13303190.560000001</v>
      </c>
      <c r="D140" s="24">
        <f t="shared" si="4"/>
        <v>3.298751843493775</v>
      </c>
      <c r="E140" s="18">
        <f t="shared" si="5"/>
        <v>5787136.4399999995</v>
      </c>
      <c r="F140" s="18">
        <v>761793</v>
      </c>
      <c r="G140" s="18">
        <v>5025343.4400000004</v>
      </c>
    </row>
    <row r="141" spans="1:7" x14ac:dyDescent="0.3">
      <c r="A141" s="6" t="s">
        <v>111</v>
      </c>
      <c r="B141" s="17">
        <v>1252099</v>
      </c>
      <c r="C141" s="17">
        <v>839362</v>
      </c>
      <c r="D141" s="19">
        <f t="shared" si="4"/>
        <v>3.0336485461686253</v>
      </c>
      <c r="E141" s="18">
        <f t="shared" si="5"/>
        <v>412737</v>
      </c>
      <c r="F141" s="6">
        <v>0</v>
      </c>
      <c r="G141" s="17">
        <v>412737</v>
      </c>
    </row>
    <row r="142" spans="1:7" x14ac:dyDescent="0.3">
      <c r="A142" s="6" t="s">
        <v>112</v>
      </c>
      <c r="B142" s="17">
        <v>1593826</v>
      </c>
      <c r="C142" s="17">
        <v>1400000</v>
      </c>
      <c r="D142" s="19">
        <f t="shared" si="4"/>
        <v>8.2229731821324279</v>
      </c>
      <c r="E142" s="18">
        <f t="shared" si="5"/>
        <v>193826</v>
      </c>
      <c r="F142" s="17">
        <v>189495</v>
      </c>
      <c r="G142" s="17">
        <v>4331</v>
      </c>
    </row>
    <row r="143" spans="1:7" s="15" customFormat="1" x14ac:dyDescent="0.3">
      <c r="A143" s="16" t="s">
        <v>156</v>
      </c>
      <c r="B143" s="18">
        <v>2845925</v>
      </c>
      <c r="C143" s="18">
        <v>2239362</v>
      </c>
      <c r="D143" s="24">
        <f t="shared" si="4"/>
        <v>4.6918869103456693</v>
      </c>
      <c r="E143" s="18">
        <f t="shared" si="5"/>
        <v>606563</v>
      </c>
      <c r="F143" s="18">
        <v>189495</v>
      </c>
      <c r="G143" s="18">
        <v>417068</v>
      </c>
    </row>
    <row r="144" spans="1:7" x14ac:dyDescent="0.3">
      <c r="A144" s="6" t="s">
        <v>111</v>
      </c>
      <c r="B144" s="17">
        <v>2372976</v>
      </c>
      <c r="C144" s="17">
        <v>1106452</v>
      </c>
      <c r="D144" s="19">
        <f t="shared" si="4"/>
        <v>1.8736131332686945</v>
      </c>
      <c r="E144" s="18">
        <f t="shared" si="5"/>
        <v>1266524</v>
      </c>
      <c r="F144" s="6">
        <v>0</v>
      </c>
      <c r="G144" s="17">
        <v>1266524</v>
      </c>
    </row>
    <row r="145" spans="1:7" x14ac:dyDescent="0.3">
      <c r="A145" s="6" t="s">
        <v>112</v>
      </c>
      <c r="B145" s="17">
        <v>2656380</v>
      </c>
      <c r="C145" s="17">
        <v>1400000</v>
      </c>
      <c r="D145" s="19">
        <f t="shared" si="4"/>
        <v>2.1143125487511738</v>
      </c>
      <c r="E145" s="18">
        <f t="shared" si="5"/>
        <v>1256380</v>
      </c>
      <c r="F145" s="17">
        <v>1020000</v>
      </c>
      <c r="G145" s="17">
        <v>236380</v>
      </c>
    </row>
    <row r="146" spans="1:7" s="15" customFormat="1" x14ac:dyDescent="0.3">
      <c r="A146" s="16" t="s">
        <v>157</v>
      </c>
      <c r="B146" s="18">
        <v>5029356</v>
      </c>
      <c r="C146" s="18">
        <v>2506452</v>
      </c>
      <c r="D146" s="24">
        <f t="shared" si="4"/>
        <v>1.9934789433129441</v>
      </c>
      <c r="E146" s="18">
        <f t="shared" si="5"/>
        <v>2522904</v>
      </c>
      <c r="F146" s="18">
        <v>1020000</v>
      </c>
      <c r="G146" s="18">
        <v>1502904</v>
      </c>
    </row>
    <row r="147" spans="1:7" x14ac:dyDescent="0.3">
      <c r="A147" s="6" t="s">
        <v>111</v>
      </c>
      <c r="B147" s="17">
        <v>19517891</v>
      </c>
      <c r="C147" s="17">
        <v>11717183</v>
      </c>
      <c r="D147" s="19">
        <f t="shared" si="4"/>
        <v>2.5020666072874409</v>
      </c>
      <c r="E147" s="18">
        <f t="shared" si="5"/>
        <v>7800708</v>
      </c>
      <c r="F147" s="17">
        <v>3145500</v>
      </c>
      <c r="G147" s="17">
        <v>4655208</v>
      </c>
    </row>
    <row r="148" spans="1:7" x14ac:dyDescent="0.3">
      <c r="A148" s="6" t="s">
        <v>112</v>
      </c>
      <c r="B148" s="17">
        <v>10291031</v>
      </c>
      <c r="C148" s="17">
        <v>4311497.0599999996</v>
      </c>
      <c r="D148" s="19">
        <f t="shared" si="4"/>
        <v>1.721042325917461</v>
      </c>
      <c r="E148" s="18">
        <f t="shared" si="5"/>
        <v>5979533.9400000004</v>
      </c>
      <c r="F148" s="17">
        <v>5239616</v>
      </c>
      <c r="G148" s="17">
        <v>739917.94</v>
      </c>
    </row>
    <row r="149" spans="1:7" s="15" customFormat="1" x14ac:dyDescent="0.3">
      <c r="A149" s="16" t="s">
        <v>158</v>
      </c>
      <c r="B149" s="18">
        <v>29808922</v>
      </c>
      <c r="C149" s="18">
        <v>16028680.060000001</v>
      </c>
      <c r="D149" s="24">
        <f t="shared" si="4"/>
        <v>2.163163907411048</v>
      </c>
      <c r="E149" s="18">
        <f t="shared" si="5"/>
        <v>13780241.939999999</v>
      </c>
      <c r="F149" s="18">
        <v>8385116</v>
      </c>
      <c r="G149" s="18">
        <v>5395125.9400000004</v>
      </c>
    </row>
    <row r="150" spans="1:7" x14ac:dyDescent="0.3">
      <c r="A150" s="6" t="s">
        <v>111</v>
      </c>
      <c r="B150" s="17">
        <v>4349573</v>
      </c>
      <c r="C150" s="17">
        <v>1385153</v>
      </c>
      <c r="D150" s="19">
        <f t="shared" si="4"/>
        <v>1.4672593627083881</v>
      </c>
      <c r="E150" s="18">
        <f t="shared" si="5"/>
        <v>2964420</v>
      </c>
      <c r="F150" s="17">
        <v>364871</v>
      </c>
      <c r="G150" s="17">
        <v>2599549</v>
      </c>
    </row>
    <row r="151" spans="1:7" x14ac:dyDescent="0.3">
      <c r="A151" s="6" t="s">
        <v>112</v>
      </c>
      <c r="B151" s="17">
        <v>2439870</v>
      </c>
      <c r="C151" s="17">
        <v>1904000</v>
      </c>
      <c r="D151" s="19">
        <f t="shared" si="4"/>
        <v>4.5531005654356465</v>
      </c>
      <c r="E151" s="18">
        <f t="shared" si="5"/>
        <v>535870</v>
      </c>
      <c r="F151" s="17">
        <v>507801</v>
      </c>
      <c r="G151" s="17">
        <v>28069</v>
      </c>
    </row>
    <row r="152" spans="1:7" s="15" customFormat="1" x14ac:dyDescent="0.3">
      <c r="A152" s="16" t="s">
        <v>159</v>
      </c>
      <c r="B152" s="18">
        <v>6789443</v>
      </c>
      <c r="C152" s="18">
        <v>3289153</v>
      </c>
      <c r="D152" s="24">
        <f t="shared" si="4"/>
        <v>1.9396801407883346</v>
      </c>
      <c r="E152" s="18">
        <f t="shared" si="5"/>
        <v>3500290</v>
      </c>
      <c r="F152" s="18">
        <v>872672</v>
      </c>
      <c r="G152" s="18">
        <v>2627618</v>
      </c>
    </row>
    <row r="153" spans="1:7" x14ac:dyDescent="0.3">
      <c r="A153" s="6" t="s">
        <v>111</v>
      </c>
      <c r="B153" s="17">
        <v>2844724</v>
      </c>
      <c r="C153" s="17">
        <v>1614128</v>
      </c>
      <c r="D153" s="19">
        <f t="shared" si="4"/>
        <v>2.3116636166540441</v>
      </c>
      <c r="E153" s="18">
        <f t="shared" si="5"/>
        <v>1230596</v>
      </c>
      <c r="F153" s="17">
        <v>75500</v>
      </c>
      <c r="G153" s="17">
        <v>1155096</v>
      </c>
    </row>
    <row r="154" spans="1:7" x14ac:dyDescent="0.3">
      <c r="A154" s="6" t="s">
        <v>112</v>
      </c>
      <c r="B154" s="17">
        <v>950641</v>
      </c>
      <c r="C154" s="17">
        <v>1400000</v>
      </c>
      <c r="D154" s="19">
        <f t="shared" si="4"/>
        <v>-2.1155490376291564</v>
      </c>
      <c r="E154" s="18">
        <f t="shared" si="5"/>
        <v>-449359</v>
      </c>
      <c r="F154" s="6">
        <v>0</v>
      </c>
      <c r="G154" s="17">
        <v>-449359</v>
      </c>
    </row>
    <row r="155" spans="1:7" s="15" customFormat="1" x14ac:dyDescent="0.3">
      <c r="A155" s="16" t="s">
        <v>160</v>
      </c>
      <c r="B155" s="18">
        <v>3795365</v>
      </c>
      <c r="C155" s="18">
        <v>3014128</v>
      </c>
      <c r="D155" s="24">
        <f t="shared" si="4"/>
        <v>4.8581480395833783</v>
      </c>
      <c r="E155" s="18">
        <f t="shared" si="5"/>
        <v>781237</v>
      </c>
      <c r="F155" s="18">
        <v>75500</v>
      </c>
      <c r="G155" s="18">
        <v>705737</v>
      </c>
    </row>
    <row r="156" spans="1:7" x14ac:dyDescent="0.3">
      <c r="A156" s="6" t="s">
        <v>111</v>
      </c>
      <c r="B156" s="17">
        <v>3028814.82</v>
      </c>
      <c r="C156" s="17">
        <v>1673491</v>
      </c>
      <c r="D156" s="19">
        <f t="shared" si="4"/>
        <v>2.2347536251521061</v>
      </c>
      <c r="E156" s="18">
        <f t="shared" si="5"/>
        <v>1355323.8199999998</v>
      </c>
      <c r="F156" s="6">
        <v>0</v>
      </c>
      <c r="G156" s="17">
        <v>1355323.82</v>
      </c>
    </row>
    <row r="157" spans="1:7" x14ac:dyDescent="0.3">
      <c r="A157" s="6" t="s">
        <v>112</v>
      </c>
      <c r="B157" s="17">
        <v>1427555.45</v>
      </c>
      <c r="C157" s="17">
        <v>1400000</v>
      </c>
      <c r="D157" s="19">
        <f t="shared" si="4"/>
        <v>51.806646235136874</v>
      </c>
      <c r="E157" s="18">
        <f t="shared" si="5"/>
        <v>27555.449999999953</v>
      </c>
      <c r="F157" s="6">
        <v>0</v>
      </c>
      <c r="G157" s="17">
        <v>27555.45</v>
      </c>
    </row>
    <row r="158" spans="1:7" x14ac:dyDescent="0.3">
      <c r="A158" s="6" t="s">
        <v>119</v>
      </c>
      <c r="B158" s="17">
        <v>1123790.6399999999</v>
      </c>
      <c r="C158" s="17">
        <v>500750</v>
      </c>
      <c r="D158" s="19">
        <f t="shared" si="4"/>
        <v>1.8037196417877333</v>
      </c>
      <c r="E158" s="18">
        <f t="shared" si="5"/>
        <v>623040.6399999999</v>
      </c>
      <c r="F158" s="6">
        <v>0</v>
      </c>
      <c r="G158" s="17">
        <v>623040.64</v>
      </c>
    </row>
    <row r="159" spans="1:7" s="15" customFormat="1" x14ac:dyDescent="0.3">
      <c r="A159" s="16" t="s">
        <v>161</v>
      </c>
      <c r="B159" s="18">
        <v>5580160.9100000001</v>
      </c>
      <c r="C159" s="18">
        <v>3574241</v>
      </c>
      <c r="D159" s="24">
        <f t="shared" si="4"/>
        <v>2.7818463150904162</v>
      </c>
      <c r="E159" s="18">
        <f t="shared" si="5"/>
        <v>2005919.9100000001</v>
      </c>
      <c r="F159" s="16">
        <v>0</v>
      </c>
      <c r="G159" s="18">
        <v>2005919.91</v>
      </c>
    </row>
    <row r="160" spans="1:7" x14ac:dyDescent="0.3">
      <c r="A160" s="6" t="s">
        <v>111</v>
      </c>
      <c r="B160" s="17">
        <v>1912758.66</v>
      </c>
      <c r="C160" s="17">
        <v>909666</v>
      </c>
      <c r="D160" s="19">
        <f t="shared" si="4"/>
        <v>1.9068613860657699</v>
      </c>
      <c r="E160" s="18">
        <f t="shared" si="5"/>
        <v>1003092.6599999999</v>
      </c>
      <c r="F160" s="6">
        <v>0</v>
      </c>
      <c r="G160" s="17">
        <v>1003092.66</v>
      </c>
    </row>
    <row r="161" spans="1:7" x14ac:dyDescent="0.3">
      <c r="A161" s="6" t="s">
        <v>112</v>
      </c>
      <c r="B161" s="17">
        <v>1492952.75</v>
      </c>
      <c r="C161" s="17">
        <v>1400000</v>
      </c>
      <c r="D161" s="19">
        <f t="shared" si="4"/>
        <v>16.061415611695189</v>
      </c>
      <c r="E161" s="18">
        <f t="shared" si="5"/>
        <v>92952.75</v>
      </c>
      <c r="F161" s="17">
        <v>613000</v>
      </c>
      <c r="G161" s="17">
        <v>-520047.25</v>
      </c>
    </row>
    <row r="162" spans="1:7" s="15" customFormat="1" x14ac:dyDescent="0.3">
      <c r="A162" s="16" t="s">
        <v>162</v>
      </c>
      <c r="B162" s="18">
        <v>3405711.41</v>
      </c>
      <c r="C162" s="18">
        <v>2309666</v>
      </c>
      <c r="D162" s="24">
        <f t="shared" si="4"/>
        <v>3.10727217953497</v>
      </c>
      <c r="E162" s="18">
        <f t="shared" si="5"/>
        <v>1096045.4100000001</v>
      </c>
      <c r="F162" s="18">
        <v>613000</v>
      </c>
      <c r="G162" s="18">
        <v>483045.41</v>
      </c>
    </row>
    <row r="163" spans="1:7" x14ac:dyDescent="0.3">
      <c r="A163" s="6" t="s">
        <v>111</v>
      </c>
      <c r="B163" s="17">
        <v>3799349.78</v>
      </c>
      <c r="C163" s="17">
        <v>2038609</v>
      </c>
      <c r="D163" s="19">
        <f t="shared" si="4"/>
        <v>2.157813247217458</v>
      </c>
      <c r="E163" s="18">
        <f t="shared" si="5"/>
        <v>1760740.7799999998</v>
      </c>
      <c r="F163" s="6">
        <v>0</v>
      </c>
      <c r="G163" s="17">
        <v>1760740.78</v>
      </c>
    </row>
    <row r="164" spans="1:7" x14ac:dyDescent="0.3">
      <c r="A164" s="6" t="s">
        <v>112</v>
      </c>
      <c r="B164" s="17">
        <v>5609788.3499999996</v>
      </c>
      <c r="C164" s="17">
        <v>2708580</v>
      </c>
      <c r="D164" s="19">
        <f t="shared" si="4"/>
        <v>1.9336040963759118</v>
      </c>
      <c r="E164" s="18">
        <f t="shared" si="5"/>
        <v>2901208.3499999996</v>
      </c>
      <c r="F164" s="17">
        <v>2642446</v>
      </c>
      <c r="G164" s="17">
        <v>258762.35</v>
      </c>
    </row>
    <row r="165" spans="1:7" s="15" customFormat="1" x14ac:dyDescent="0.3">
      <c r="A165" s="16" t="s">
        <v>163</v>
      </c>
      <c r="B165" s="18">
        <v>9409138.1300000008</v>
      </c>
      <c r="C165" s="18">
        <v>4747189</v>
      </c>
      <c r="D165" s="24">
        <f t="shared" si="4"/>
        <v>2.0182841699089922</v>
      </c>
      <c r="E165" s="18">
        <f t="shared" si="5"/>
        <v>4661949.1300000008</v>
      </c>
      <c r="F165" s="18">
        <v>2642446</v>
      </c>
      <c r="G165" s="18">
        <v>2019503.13</v>
      </c>
    </row>
    <row r="166" spans="1:7" x14ac:dyDescent="0.3">
      <c r="A166" s="6" t="s">
        <v>111</v>
      </c>
      <c r="B166" s="17">
        <v>3337663.7</v>
      </c>
      <c r="C166" s="17">
        <v>1597437</v>
      </c>
      <c r="D166" s="19">
        <f t="shared" si="4"/>
        <v>1.9179476444074786</v>
      </c>
      <c r="E166" s="18">
        <f t="shared" si="5"/>
        <v>1740226.7000000002</v>
      </c>
      <c r="F166" s="6">
        <v>0</v>
      </c>
      <c r="G166" s="17">
        <v>1740226.7</v>
      </c>
    </row>
    <row r="167" spans="1:7" x14ac:dyDescent="0.3">
      <c r="A167" s="6" t="s">
        <v>112</v>
      </c>
      <c r="B167" s="17">
        <v>776137.55</v>
      </c>
      <c r="C167" s="17">
        <v>1500000</v>
      </c>
      <c r="D167" s="19">
        <f t="shared" si="4"/>
        <v>-1.0722168970085408</v>
      </c>
      <c r="E167" s="18">
        <f t="shared" si="5"/>
        <v>-723862.45</v>
      </c>
      <c r="F167" s="6">
        <v>0</v>
      </c>
      <c r="G167" s="17">
        <v>-723862.45</v>
      </c>
    </row>
    <row r="168" spans="1:7" s="15" customFormat="1" x14ac:dyDescent="0.3">
      <c r="A168" s="16" t="s">
        <v>164</v>
      </c>
      <c r="B168" s="18">
        <v>4113801.25</v>
      </c>
      <c r="C168" s="18">
        <v>3097437</v>
      </c>
      <c r="D168" s="24">
        <f t="shared" si="4"/>
        <v>4.0475658702084418</v>
      </c>
      <c r="E168" s="18">
        <f t="shared" si="5"/>
        <v>1016364.25</v>
      </c>
      <c r="F168" s="16">
        <v>0</v>
      </c>
      <c r="G168" s="18">
        <v>1016364.25</v>
      </c>
    </row>
    <row r="169" spans="1:7" x14ac:dyDescent="0.3">
      <c r="A169" s="6" t="s">
        <v>111</v>
      </c>
      <c r="B169" s="17">
        <v>6910275.9400000004</v>
      </c>
      <c r="C169" s="17">
        <v>3277094</v>
      </c>
      <c r="D169" s="19">
        <f t="shared" si="4"/>
        <v>1.9019900610867837</v>
      </c>
      <c r="E169" s="18">
        <f t="shared" si="5"/>
        <v>3633181.9400000004</v>
      </c>
      <c r="F169" s="17">
        <v>160000</v>
      </c>
      <c r="G169" s="17">
        <v>3473181.94</v>
      </c>
    </row>
    <row r="170" spans="1:7" x14ac:dyDescent="0.3">
      <c r="A170" s="6" t="s">
        <v>112</v>
      </c>
      <c r="B170" s="17">
        <v>3984571.35</v>
      </c>
      <c r="C170" s="17">
        <v>5900000</v>
      </c>
      <c r="D170" s="19">
        <f t="shared" si="4"/>
        <v>-2.080250470305955</v>
      </c>
      <c r="E170" s="18">
        <f t="shared" si="5"/>
        <v>-1915428.65</v>
      </c>
      <c r="F170" s="17">
        <v>953700</v>
      </c>
      <c r="G170" s="17">
        <v>-2869128.65</v>
      </c>
    </row>
    <row r="171" spans="1:7" s="15" customFormat="1" x14ac:dyDescent="0.3">
      <c r="A171" s="16" t="s">
        <v>165</v>
      </c>
      <c r="B171" s="18">
        <v>10894847.289999999</v>
      </c>
      <c r="C171" s="18">
        <v>9177094</v>
      </c>
      <c r="D171" s="24">
        <f t="shared" si="4"/>
        <v>6.3424982815780284</v>
      </c>
      <c r="E171" s="18">
        <f t="shared" si="5"/>
        <v>1717753.2899999991</v>
      </c>
      <c r="F171" s="18">
        <v>1113700</v>
      </c>
      <c r="G171" s="18">
        <v>604053.29</v>
      </c>
    </row>
    <row r="172" spans="1:7" x14ac:dyDescent="0.3">
      <c r="A172" s="6" t="s">
        <v>111</v>
      </c>
      <c r="B172" s="17">
        <v>4068723.96</v>
      </c>
      <c r="C172" s="17">
        <v>4169747</v>
      </c>
      <c r="D172" s="19">
        <f t="shared" si="4"/>
        <v>-40.275208110941804</v>
      </c>
      <c r="E172" s="18">
        <f t="shared" si="5"/>
        <v>-101023.04000000004</v>
      </c>
      <c r="F172" s="17">
        <v>207000</v>
      </c>
      <c r="G172" s="17">
        <v>-308023.03999999998</v>
      </c>
    </row>
    <row r="173" spans="1:7" x14ac:dyDescent="0.3">
      <c r="A173" s="6" t="s">
        <v>112</v>
      </c>
      <c r="B173" s="17">
        <v>1983300.75</v>
      </c>
      <c r="C173" s="17">
        <v>1739000</v>
      </c>
      <c r="D173" s="19">
        <f t="shared" si="4"/>
        <v>8.1182753225276638</v>
      </c>
      <c r="E173" s="18">
        <f t="shared" si="5"/>
        <v>244300.75</v>
      </c>
      <c r="F173" s="17">
        <v>6655399</v>
      </c>
      <c r="G173" s="17">
        <v>-6411098.25</v>
      </c>
    </row>
    <row r="174" spans="1:7" s="15" customFormat="1" x14ac:dyDescent="0.3">
      <c r="A174" s="16" t="s">
        <v>166</v>
      </c>
      <c r="B174" s="18">
        <v>6052024.71</v>
      </c>
      <c r="C174" s="18">
        <v>5908747</v>
      </c>
      <c r="D174" s="24">
        <f t="shared" si="4"/>
        <v>42.239820206506664</v>
      </c>
      <c r="E174" s="18">
        <f t="shared" si="5"/>
        <v>143277.70999999996</v>
      </c>
      <c r="F174" s="18">
        <v>6862399</v>
      </c>
      <c r="G174" s="18">
        <v>-6719121.29</v>
      </c>
    </row>
    <row r="175" spans="1:7" x14ac:dyDescent="0.3">
      <c r="A175" s="6" t="s">
        <v>111</v>
      </c>
      <c r="B175" s="17">
        <v>16995302.18</v>
      </c>
      <c r="C175" s="17">
        <v>6086770.7800000003</v>
      </c>
      <c r="D175" s="19">
        <f t="shared" si="4"/>
        <v>1.5579826061645661</v>
      </c>
      <c r="E175" s="18">
        <f t="shared" si="5"/>
        <v>10908531.399999999</v>
      </c>
      <c r="F175" s="6">
        <v>0</v>
      </c>
      <c r="G175" s="17">
        <v>10908531.4</v>
      </c>
    </row>
    <row r="176" spans="1:7" x14ac:dyDescent="0.3">
      <c r="A176" s="6" t="s">
        <v>112</v>
      </c>
      <c r="B176" s="17">
        <v>9350855.6500000004</v>
      </c>
      <c r="C176" s="17">
        <v>6735937</v>
      </c>
      <c r="D176" s="19">
        <f t="shared" si="4"/>
        <v>3.575964265656983</v>
      </c>
      <c r="E176" s="18">
        <f t="shared" si="5"/>
        <v>2614918.6500000004</v>
      </c>
      <c r="F176" s="17">
        <v>2541449</v>
      </c>
      <c r="G176" s="17">
        <v>73469.649999999994</v>
      </c>
    </row>
    <row r="177" spans="1:10" s="15" customFormat="1" x14ac:dyDescent="0.3">
      <c r="A177" s="16" t="s">
        <v>167</v>
      </c>
      <c r="B177" s="18">
        <v>26346157.829999998</v>
      </c>
      <c r="C177" s="18">
        <v>12822707.779999999</v>
      </c>
      <c r="D177" s="24">
        <f t="shared" si="4"/>
        <v>1.9481831731245238</v>
      </c>
      <c r="E177" s="18">
        <f t="shared" si="5"/>
        <v>13523450.049999999</v>
      </c>
      <c r="F177" s="18">
        <v>2541449</v>
      </c>
      <c r="G177" s="18">
        <v>10982001.050000001</v>
      </c>
    </row>
    <row r="178" spans="1:10" x14ac:dyDescent="0.3">
      <c r="A178" s="6" t="s">
        <v>111</v>
      </c>
      <c r="B178" s="17">
        <v>24039523.379999999</v>
      </c>
      <c r="C178" s="17">
        <v>17592506</v>
      </c>
      <c r="D178" s="19">
        <f t="shared" si="4"/>
        <v>3.7287821581768408</v>
      </c>
      <c r="E178" s="18">
        <f t="shared" si="5"/>
        <v>6447017.379999999</v>
      </c>
      <c r="F178" s="6">
        <v>0</v>
      </c>
      <c r="G178" s="17">
        <v>6447017.3799999999</v>
      </c>
    </row>
    <row r="179" spans="1:10" x14ac:dyDescent="0.3">
      <c r="A179" s="6" t="s">
        <v>112</v>
      </c>
      <c r="B179" s="17">
        <v>8564000.75</v>
      </c>
      <c r="C179" s="17">
        <v>3509675.6</v>
      </c>
      <c r="D179" s="19">
        <f t="shared" si="4"/>
        <v>1.6943905458872188</v>
      </c>
      <c r="E179" s="18">
        <f t="shared" si="5"/>
        <v>5054325.1500000004</v>
      </c>
      <c r="F179" s="17">
        <v>1893750</v>
      </c>
      <c r="G179" s="17">
        <v>3160575.15</v>
      </c>
    </row>
    <row r="180" spans="1:10" s="15" customFormat="1" x14ac:dyDescent="0.3">
      <c r="A180" s="16" t="s">
        <v>168</v>
      </c>
      <c r="B180" s="18">
        <v>32603524.129999999</v>
      </c>
      <c r="C180" s="18">
        <v>21102181.600000001</v>
      </c>
      <c r="D180" s="24">
        <f t="shared" si="4"/>
        <v>2.8347581201896443</v>
      </c>
      <c r="E180" s="18">
        <f t="shared" si="5"/>
        <v>11501342.529999997</v>
      </c>
      <c r="F180" s="18">
        <v>1893750</v>
      </c>
      <c r="G180" s="18">
        <v>9607592.5299999993</v>
      </c>
    </row>
    <row r="181" spans="1:10" x14ac:dyDescent="0.3">
      <c r="A181" s="6" t="s">
        <v>111</v>
      </c>
      <c r="B181" s="17">
        <v>25259079.579999998</v>
      </c>
      <c r="C181" s="17">
        <v>38354034.799999997</v>
      </c>
      <c r="D181" s="19">
        <f t="shared" si="4"/>
        <v>-1.9289168351963253</v>
      </c>
      <c r="E181" s="18">
        <f t="shared" si="5"/>
        <v>-13094955.219999999</v>
      </c>
      <c r="F181" s="17">
        <v>1368000</v>
      </c>
      <c r="G181" s="17">
        <v>-14462955.220000001</v>
      </c>
    </row>
    <row r="182" spans="1:10" x14ac:dyDescent="0.3">
      <c r="A182" s="6" t="s">
        <v>112</v>
      </c>
      <c r="B182" s="17">
        <v>14507957.25</v>
      </c>
      <c r="C182" s="17">
        <v>23223193</v>
      </c>
      <c r="D182" s="19">
        <f t="shared" si="4"/>
        <v>-1.6646660705649874</v>
      </c>
      <c r="E182" s="18">
        <f t="shared" si="5"/>
        <v>-8715235.75</v>
      </c>
      <c r="F182" s="17">
        <v>11535570</v>
      </c>
      <c r="G182" s="17">
        <v>-20250805.75</v>
      </c>
      <c r="J182" s="15"/>
    </row>
    <row r="183" spans="1:10" s="15" customFormat="1" x14ac:dyDescent="0.3">
      <c r="A183" s="16" t="s">
        <v>169</v>
      </c>
      <c r="B183" s="18">
        <v>39767036.829999998</v>
      </c>
      <c r="C183" s="18">
        <v>61577227.799999997</v>
      </c>
      <c r="D183" s="24">
        <f t="shared" si="4"/>
        <v>-1.8233236419020682</v>
      </c>
      <c r="E183" s="18">
        <f t="shared" si="5"/>
        <v>-21810190.969999999</v>
      </c>
      <c r="F183" s="18">
        <v>12903570</v>
      </c>
      <c r="G183" s="18">
        <v>-34713760.969999999</v>
      </c>
    </row>
    <row r="184" spans="1:10" x14ac:dyDescent="0.3">
      <c r="A184" s="6" t="s">
        <v>111</v>
      </c>
      <c r="B184" s="17">
        <v>18685222.300000001</v>
      </c>
      <c r="C184" s="17">
        <v>9639603.1799999997</v>
      </c>
      <c r="D184" s="19">
        <f t="shared" si="4"/>
        <v>2.0656653847702575</v>
      </c>
      <c r="E184" s="18">
        <f t="shared" si="5"/>
        <v>9045619.120000001</v>
      </c>
      <c r="F184" s="6">
        <v>0</v>
      </c>
      <c r="G184" s="17">
        <v>9045619.1199999992</v>
      </c>
    </row>
    <row r="185" spans="1:10" x14ac:dyDescent="0.3">
      <c r="A185" s="6" t="s">
        <v>112</v>
      </c>
      <c r="B185" s="17">
        <v>10625524.449999999</v>
      </c>
      <c r="C185" s="17">
        <v>26065316</v>
      </c>
      <c r="D185" s="19">
        <f t="shared" si="4"/>
        <v>-0.68819092638591994</v>
      </c>
      <c r="E185" s="18">
        <f t="shared" si="5"/>
        <v>-15439791.550000001</v>
      </c>
      <c r="F185" s="17">
        <v>9940847</v>
      </c>
      <c r="G185" s="17">
        <v>-25380638.550000001</v>
      </c>
    </row>
    <row r="186" spans="1:10" s="15" customFormat="1" x14ac:dyDescent="0.3">
      <c r="A186" s="16" t="s">
        <v>170</v>
      </c>
      <c r="B186" s="18">
        <v>29310746.75</v>
      </c>
      <c r="C186" s="18">
        <v>35704919.18</v>
      </c>
      <c r="D186" s="24">
        <f t="shared" si="4"/>
        <v>-4.5839781568105131</v>
      </c>
      <c r="E186" s="18">
        <f t="shared" si="5"/>
        <v>-6394172.4299999997</v>
      </c>
      <c r="F186" s="18">
        <v>9940847</v>
      </c>
      <c r="G186" s="18">
        <v>-16335019.43</v>
      </c>
    </row>
    <row r="187" spans="1:10" x14ac:dyDescent="0.3">
      <c r="A187" s="6" t="s">
        <v>112</v>
      </c>
      <c r="B187" s="17">
        <v>6640953.0999999996</v>
      </c>
      <c r="C187" s="17">
        <v>4974477.8499999996</v>
      </c>
      <c r="D187" s="19">
        <f t="shared" si="4"/>
        <v>3.9850295406427425</v>
      </c>
      <c r="E187" s="18">
        <f t="shared" si="5"/>
        <v>1666475.25</v>
      </c>
      <c r="F187" s="6">
        <v>0</v>
      </c>
      <c r="G187" s="17">
        <v>1666475.25</v>
      </c>
    </row>
    <row r="188" spans="1:10" x14ac:dyDescent="0.3">
      <c r="A188" s="6" t="s">
        <v>114</v>
      </c>
      <c r="B188" s="17">
        <v>200840860</v>
      </c>
      <c r="C188" s="6">
        <v>0</v>
      </c>
      <c r="D188" s="19">
        <f t="shared" si="4"/>
        <v>1</v>
      </c>
      <c r="E188" s="18">
        <f t="shared" si="5"/>
        <v>200840860</v>
      </c>
      <c r="F188" s="17">
        <v>2000000</v>
      </c>
      <c r="G188" s="17">
        <v>198840860</v>
      </c>
    </row>
    <row r="189" spans="1:10" s="15" customFormat="1" x14ac:dyDescent="0.3">
      <c r="A189" s="16" t="s">
        <v>171</v>
      </c>
      <c r="B189" s="18">
        <v>207481813.09999999</v>
      </c>
      <c r="C189" s="18">
        <v>4974477.8499999996</v>
      </c>
      <c r="D189" s="24">
        <f t="shared" si="4"/>
        <v>1.0245644329073753</v>
      </c>
      <c r="E189" s="18">
        <f t="shared" si="5"/>
        <v>202507335.25</v>
      </c>
      <c r="F189" s="18">
        <v>2000000</v>
      </c>
      <c r="G189" s="18">
        <v>200507335.25</v>
      </c>
    </row>
    <row r="190" spans="1:10" x14ac:dyDescent="0.3">
      <c r="A190" s="6" t="s">
        <v>111</v>
      </c>
      <c r="B190" s="17">
        <v>120666797.5</v>
      </c>
      <c r="C190" s="17">
        <v>60677626</v>
      </c>
      <c r="D190" s="19">
        <f t="shared" si="4"/>
        <v>2.0114763128542292</v>
      </c>
      <c r="E190" s="18">
        <f t="shared" si="5"/>
        <v>59989171.5</v>
      </c>
      <c r="F190" s="17">
        <v>65507054</v>
      </c>
      <c r="G190" s="17">
        <v>-5517882.5</v>
      </c>
    </row>
    <row r="191" spans="1:10" x14ac:dyDescent="0.3">
      <c r="A191" s="6" t="s">
        <v>112</v>
      </c>
      <c r="B191" s="17">
        <v>25089158.449999999</v>
      </c>
      <c r="C191" s="17">
        <v>39477362.420000002</v>
      </c>
      <c r="D191" s="19">
        <f t="shared" si="4"/>
        <v>-1.7437310801481496</v>
      </c>
      <c r="E191" s="18">
        <f t="shared" si="5"/>
        <v>-14388203.970000003</v>
      </c>
      <c r="F191" s="17">
        <v>53830945.799999997</v>
      </c>
      <c r="G191" s="17">
        <v>-68219149.769999996</v>
      </c>
    </row>
    <row r="192" spans="1:10" s="15" customFormat="1" x14ac:dyDescent="0.3">
      <c r="A192" s="16" t="s">
        <v>172</v>
      </c>
      <c r="B192" s="18">
        <v>145755955.94999999</v>
      </c>
      <c r="C192" s="18">
        <v>100154988.42</v>
      </c>
      <c r="D192" s="24">
        <f t="shared" si="4"/>
        <v>3.1963347236900179</v>
      </c>
      <c r="E192" s="18">
        <f t="shared" si="5"/>
        <v>45600967.529999986</v>
      </c>
      <c r="F192" s="18">
        <v>119337999.8</v>
      </c>
      <c r="G192" s="18">
        <v>-73737032.269999996</v>
      </c>
    </row>
    <row r="193" spans="1:7" x14ac:dyDescent="0.3">
      <c r="A193" s="6" t="s">
        <v>111</v>
      </c>
      <c r="B193" s="17">
        <v>7130693</v>
      </c>
      <c r="C193" s="17">
        <v>2537791</v>
      </c>
      <c r="D193" s="19">
        <f t="shared" si="4"/>
        <v>1.5525462986146885</v>
      </c>
      <c r="E193" s="18">
        <f t="shared" si="5"/>
        <v>4592902</v>
      </c>
      <c r="F193" s="6">
        <v>0</v>
      </c>
      <c r="G193" s="17">
        <v>4592902</v>
      </c>
    </row>
    <row r="194" spans="1:7" x14ac:dyDescent="0.3">
      <c r="A194" s="6" t="s">
        <v>112</v>
      </c>
      <c r="B194" s="17">
        <v>7196428.71</v>
      </c>
      <c r="C194" s="17">
        <v>2884284.7</v>
      </c>
      <c r="D194" s="19">
        <f t="shared" si="4"/>
        <v>1.6688748551326793</v>
      </c>
      <c r="E194" s="18">
        <f t="shared" si="5"/>
        <v>4312144.01</v>
      </c>
      <c r="F194" s="17">
        <v>950365</v>
      </c>
      <c r="G194" s="17">
        <v>3361779.01</v>
      </c>
    </row>
    <row r="195" spans="1:7" s="15" customFormat="1" x14ac:dyDescent="0.3">
      <c r="A195" s="16" t="s">
        <v>173</v>
      </c>
      <c r="B195" s="18">
        <v>14327121.710000001</v>
      </c>
      <c r="C195" s="18">
        <v>5422075.7000000002</v>
      </c>
      <c r="D195" s="24">
        <f t="shared" si="4"/>
        <v>1.6088767754721571</v>
      </c>
      <c r="E195" s="18">
        <f t="shared" si="5"/>
        <v>8905046.0100000016</v>
      </c>
      <c r="F195" s="18">
        <v>950365</v>
      </c>
      <c r="G195" s="18">
        <v>7954681.0099999998</v>
      </c>
    </row>
    <row r="196" spans="1:7" x14ac:dyDescent="0.3">
      <c r="A196" s="6" t="s">
        <v>111</v>
      </c>
      <c r="B196" s="17">
        <v>4977267.62</v>
      </c>
      <c r="C196" s="17">
        <v>2124260</v>
      </c>
      <c r="D196" s="19">
        <f t="shared" ref="D196:D251" si="6">B196/E196</f>
        <v>1.7445686387616448</v>
      </c>
      <c r="E196" s="18">
        <f t="shared" ref="E196:E251" si="7">B196-C196</f>
        <v>2853007.62</v>
      </c>
      <c r="F196" s="17">
        <v>2000000</v>
      </c>
      <c r="G196" s="17">
        <v>853007.62</v>
      </c>
    </row>
    <row r="197" spans="1:7" x14ac:dyDescent="0.3">
      <c r="A197" s="6" t="s">
        <v>112</v>
      </c>
      <c r="B197" s="17">
        <v>10742346.699999999</v>
      </c>
      <c r="C197" s="17">
        <v>1400000</v>
      </c>
      <c r="D197" s="19">
        <f t="shared" si="6"/>
        <v>1.1498552820781101</v>
      </c>
      <c r="E197" s="18">
        <f t="shared" si="7"/>
        <v>9342346.6999999993</v>
      </c>
      <c r="F197" s="6">
        <v>0</v>
      </c>
      <c r="G197" s="17">
        <v>9342346.6999999993</v>
      </c>
    </row>
    <row r="198" spans="1:7" s="15" customFormat="1" x14ac:dyDescent="0.3">
      <c r="A198" s="16" t="s">
        <v>174</v>
      </c>
      <c r="B198" s="18">
        <v>15719614.32</v>
      </c>
      <c r="C198" s="18">
        <v>3524260</v>
      </c>
      <c r="D198" s="24">
        <f t="shared" si="6"/>
        <v>1.2889838136330589</v>
      </c>
      <c r="E198" s="18">
        <f t="shared" si="7"/>
        <v>12195354.32</v>
      </c>
      <c r="F198" s="18">
        <v>2000000</v>
      </c>
      <c r="G198" s="18">
        <v>10195354.32</v>
      </c>
    </row>
    <row r="199" spans="1:7" x14ac:dyDescent="0.3">
      <c r="A199" s="6" t="s">
        <v>111</v>
      </c>
      <c r="B199" s="17">
        <v>8565718.3200000003</v>
      </c>
      <c r="C199" s="17">
        <v>4408475</v>
      </c>
      <c r="D199" s="19">
        <f t="shared" si="6"/>
        <v>2.0604322770311168</v>
      </c>
      <c r="E199" s="18">
        <f t="shared" si="7"/>
        <v>4157243.3200000003</v>
      </c>
      <c r="F199" s="6">
        <v>0</v>
      </c>
      <c r="G199" s="17">
        <v>4157243.32</v>
      </c>
    </row>
    <row r="200" spans="1:7" x14ac:dyDescent="0.3">
      <c r="A200" s="6" t="s">
        <v>112</v>
      </c>
      <c r="B200" s="17">
        <v>5312761.8</v>
      </c>
      <c r="C200" s="17">
        <v>1400000</v>
      </c>
      <c r="D200" s="19">
        <f t="shared" si="6"/>
        <v>1.3578035340663979</v>
      </c>
      <c r="E200" s="18">
        <f t="shared" si="7"/>
        <v>3912761.8</v>
      </c>
      <c r="F200" s="17">
        <v>2147902</v>
      </c>
      <c r="G200" s="17">
        <v>1764859.8</v>
      </c>
    </row>
    <row r="201" spans="1:7" s="15" customFormat="1" x14ac:dyDescent="0.3">
      <c r="A201" s="16" t="s">
        <v>175</v>
      </c>
      <c r="B201" s="18">
        <v>13878480.119999999</v>
      </c>
      <c r="C201" s="18">
        <v>5808475</v>
      </c>
      <c r="D201" s="24">
        <f t="shared" si="6"/>
        <v>1.719761005554356</v>
      </c>
      <c r="E201" s="18">
        <f t="shared" si="7"/>
        <v>8070005.1199999992</v>
      </c>
      <c r="F201" s="18">
        <v>2147902</v>
      </c>
      <c r="G201" s="18">
        <v>5922103.1200000001</v>
      </c>
    </row>
    <row r="202" spans="1:7" x14ac:dyDescent="0.3">
      <c r="A202" s="6" t="s">
        <v>112</v>
      </c>
      <c r="B202" s="17">
        <v>157846400.28999999</v>
      </c>
      <c r="C202" s="6">
        <v>0</v>
      </c>
      <c r="D202" s="19">
        <f t="shared" si="6"/>
        <v>1</v>
      </c>
      <c r="E202" s="18">
        <f t="shared" si="7"/>
        <v>157846400.28999999</v>
      </c>
      <c r="F202" s="6">
        <v>0</v>
      </c>
      <c r="G202" s="17">
        <v>157846400.28999999</v>
      </c>
    </row>
    <row r="203" spans="1:7" s="15" customFormat="1" x14ac:dyDescent="0.3">
      <c r="A203" s="16" t="s">
        <v>176</v>
      </c>
      <c r="B203" s="18">
        <v>157846400.28999999</v>
      </c>
      <c r="C203" s="16">
        <v>0</v>
      </c>
      <c r="D203" s="24">
        <f t="shared" si="6"/>
        <v>1</v>
      </c>
      <c r="E203" s="18">
        <f t="shared" si="7"/>
        <v>157846400.28999999</v>
      </c>
      <c r="F203" s="16">
        <v>0</v>
      </c>
      <c r="G203" s="18">
        <v>157846400.28999999</v>
      </c>
    </row>
    <row r="204" spans="1:7" x14ac:dyDescent="0.3">
      <c r="A204" s="6" t="s">
        <v>111</v>
      </c>
      <c r="B204" s="17">
        <v>4068374.22</v>
      </c>
      <c r="C204" s="17">
        <v>1649666</v>
      </c>
      <c r="D204" s="19">
        <f t="shared" si="6"/>
        <v>1.6820442359930459</v>
      </c>
      <c r="E204" s="18">
        <f t="shared" si="7"/>
        <v>2418708.2200000002</v>
      </c>
      <c r="F204" s="17">
        <v>477219</v>
      </c>
      <c r="G204" s="17">
        <v>1941489.22</v>
      </c>
    </row>
    <row r="205" spans="1:7" x14ac:dyDescent="0.3">
      <c r="A205" s="6" t="s">
        <v>112</v>
      </c>
      <c r="B205" s="17">
        <v>6641635.6500000004</v>
      </c>
      <c r="C205" s="17">
        <v>6706898.9400000004</v>
      </c>
      <c r="D205" s="19">
        <f t="shared" si="6"/>
        <v>-101.76679186721964</v>
      </c>
      <c r="E205" s="18">
        <f t="shared" si="7"/>
        <v>-65263.290000000037</v>
      </c>
      <c r="F205" s="17">
        <v>12397437</v>
      </c>
      <c r="G205" s="17">
        <v>-12462700.289999999</v>
      </c>
    </row>
    <row r="206" spans="1:7" s="15" customFormat="1" x14ac:dyDescent="0.3">
      <c r="A206" s="16" t="s">
        <v>177</v>
      </c>
      <c r="B206" s="18">
        <v>10710009.869999999</v>
      </c>
      <c r="C206" s="18">
        <v>8356564.9400000004</v>
      </c>
      <c r="D206" s="24">
        <f t="shared" si="6"/>
        <v>4.5507798943908178</v>
      </c>
      <c r="E206" s="18">
        <f t="shared" si="7"/>
        <v>2353444.9299999988</v>
      </c>
      <c r="F206" s="18">
        <v>12874656</v>
      </c>
      <c r="G206" s="18">
        <v>-10521211.07</v>
      </c>
    </row>
    <row r="207" spans="1:7" x14ac:dyDescent="0.3">
      <c r="A207" s="6" t="s">
        <v>111</v>
      </c>
      <c r="B207" s="17">
        <v>2293057.98</v>
      </c>
      <c r="C207" s="17">
        <v>802689</v>
      </c>
      <c r="D207" s="19">
        <f t="shared" si="6"/>
        <v>1.5385840760051246</v>
      </c>
      <c r="E207" s="18">
        <f t="shared" si="7"/>
        <v>1490368.98</v>
      </c>
      <c r="F207" s="6">
        <v>0</v>
      </c>
      <c r="G207" s="17">
        <v>1490368.98</v>
      </c>
    </row>
    <row r="208" spans="1:7" x14ac:dyDescent="0.3">
      <c r="A208" s="6" t="s">
        <v>112</v>
      </c>
      <c r="B208" s="17">
        <v>1259815.6000000001</v>
      </c>
      <c r="C208" s="17">
        <v>1400000</v>
      </c>
      <c r="D208" s="19">
        <f t="shared" si="6"/>
        <v>-8.986845897261043</v>
      </c>
      <c r="E208" s="18">
        <f t="shared" si="7"/>
        <v>-140184.39999999991</v>
      </c>
      <c r="F208" s="6">
        <v>0</v>
      </c>
      <c r="G208" s="17">
        <v>-140184.4</v>
      </c>
    </row>
    <row r="209" spans="1:7" s="15" customFormat="1" x14ac:dyDescent="0.3">
      <c r="A209" s="16" t="s">
        <v>178</v>
      </c>
      <c r="B209" s="18">
        <v>3552873.58</v>
      </c>
      <c r="C209" s="18">
        <v>2202689</v>
      </c>
      <c r="D209" s="24">
        <f t="shared" si="6"/>
        <v>2.6313984270209927</v>
      </c>
      <c r="E209" s="18">
        <f t="shared" si="7"/>
        <v>1350184.58</v>
      </c>
      <c r="F209" s="16">
        <v>0</v>
      </c>
      <c r="G209" s="18">
        <v>1350184.58</v>
      </c>
    </row>
    <row r="210" spans="1:7" x14ac:dyDescent="0.3">
      <c r="A210" s="6" t="s">
        <v>111</v>
      </c>
      <c r="B210" s="17">
        <v>21043767.98</v>
      </c>
      <c r="C210" s="17">
        <v>14966434</v>
      </c>
      <c r="D210" s="19">
        <f t="shared" si="6"/>
        <v>3.462664393507628</v>
      </c>
      <c r="E210" s="18">
        <f t="shared" si="7"/>
        <v>6077333.9800000004</v>
      </c>
      <c r="F210" s="17">
        <v>475400</v>
      </c>
      <c r="G210" s="17">
        <v>5601933.9800000004</v>
      </c>
    </row>
    <row r="211" spans="1:7" x14ac:dyDescent="0.3">
      <c r="A211" s="6" t="s">
        <v>112</v>
      </c>
      <c r="B211" s="17">
        <v>6842221.2000000002</v>
      </c>
      <c r="C211" s="17">
        <v>1400000</v>
      </c>
      <c r="D211" s="19">
        <f t="shared" si="6"/>
        <v>1.2572479045871932</v>
      </c>
      <c r="E211" s="18">
        <f t="shared" si="7"/>
        <v>5442221.2000000002</v>
      </c>
      <c r="F211" s="17">
        <v>1682950</v>
      </c>
      <c r="G211" s="17">
        <v>3759271.2</v>
      </c>
    </row>
    <row r="212" spans="1:7" s="15" customFormat="1" x14ac:dyDescent="0.3">
      <c r="A212" s="16" t="s">
        <v>179</v>
      </c>
      <c r="B212" s="18">
        <v>27885989.18</v>
      </c>
      <c r="C212" s="18">
        <v>16366434</v>
      </c>
      <c r="D212" s="24">
        <f t="shared" si="6"/>
        <v>2.4207522551231011</v>
      </c>
      <c r="E212" s="18">
        <f t="shared" si="7"/>
        <v>11519555.18</v>
      </c>
      <c r="F212" s="18">
        <v>2158350</v>
      </c>
      <c r="G212" s="18">
        <v>9361205.1799999997</v>
      </c>
    </row>
    <row r="213" spans="1:7" x14ac:dyDescent="0.3">
      <c r="A213" s="6" t="s">
        <v>111</v>
      </c>
      <c r="B213" s="17">
        <v>2254781.08</v>
      </c>
      <c r="C213" s="17">
        <v>1133510</v>
      </c>
      <c r="D213" s="19">
        <f t="shared" si="6"/>
        <v>2.0109152195381692</v>
      </c>
      <c r="E213" s="18">
        <f t="shared" si="7"/>
        <v>1121271.08</v>
      </c>
      <c r="F213" s="6">
        <v>0</v>
      </c>
      <c r="G213" s="17">
        <v>1121271.08</v>
      </c>
    </row>
    <row r="214" spans="1:7" x14ac:dyDescent="0.3">
      <c r="A214" s="6" t="s">
        <v>112</v>
      </c>
      <c r="B214" s="17">
        <v>3517946.45</v>
      </c>
      <c r="C214" s="17">
        <v>1400000</v>
      </c>
      <c r="D214" s="19">
        <f t="shared" si="6"/>
        <v>1.6610176569856145</v>
      </c>
      <c r="E214" s="18">
        <f t="shared" si="7"/>
        <v>2117946.4500000002</v>
      </c>
      <c r="F214" s="6">
        <v>0</v>
      </c>
      <c r="G214" s="17">
        <v>2117946.4500000002</v>
      </c>
    </row>
    <row r="215" spans="1:7" s="15" customFormat="1" x14ac:dyDescent="0.3">
      <c r="A215" s="16" t="s">
        <v>180</v>
      </c>
      <c r="B215" s="18">
        <v>5772727.5300000003</v>
      </c>
      <c r="C215" s="18">
        <v>2533510</v>
      </c>
      <c r="D215" s="24">
        <f t="shared" si="6"/>
        <v>1.7821364192234412</v>
      </c>
      <c r="E215" s="18">
        <f t="shared" si="7"/>
        <v>3239217.5300000003</v>
      </c>
      <c r="F215" s="16">
        <v>0</v>
      </c>
      <c r="G215" s="18">
        <v>3239217.53</v>
      </c>
    </row>
    <row r="216" spans="1:7" x14ac:dyDescent="0.3">
      <c r="A216" s="6" t="s">
        <v>111</v>
      </c>
      <c r="B216" s="17">
        <v>16988477</v>
      </c>
      <c r="C216" s="17">
        <v>11385935</v>
      </c>
      <c r="D216" s="19">
        <f t="shared" si="6"/>
        <v>3.0322801685377816</v>
      </c>
      <c r="E216" s="18">
        <f t="shared" si="7"/>
        <v>5602542</v>
      </c>
      <c r="F216" s="17">
        <v>4862956</v>
      </c>
      <c r="G216" s="17">
        <v>739586</v>
      </c>
    </row>
    <row r="217" spans="1:7" x14ac:dyDescent="0.3">
      <c r="A217" s="6" t="s">
        <v>112</v>
      </c>
      <c r="B217" s="17">
        <v>16265687</v>
      </c>
      <c r="C217" s="17">
        <v>1400000</v>
      </c>
      <c r="D217" s="19">
        <f t="shared" si="6"/>
        <v>1.0941766095303904</v>
      </c>
      <c r="E217" s="18">
        <f t="shared" si="7"/>
        <v>14865687</v>
      </c>
      <c r="F217" s="17">
        <v>1828775</v>
      </c>
      <c r="G217" s="17">
        <v>13036912</v>
      </c>
    </row>
    <row r="218" spans="1:7" s="15" customFormat="1" x14ac:dyDescent="0.3">
      <c r="A218" s="16" t="s">
        <v>181</v>
      </c>
      <c r="B218" s="18">
        <v>33254164</v>
      </c>
      <c r="C218" s="18">
        <v>12785935</v>
      </c>
      <c r="D218" s="24">
        <f t="shared" si="6"/>
        <v>1.6246722664672162</v>
      </c>
      <c r="E218" s="18">
        <f t="shared" si="7"/>
        <v>20468229</v>
      </c>
      <c r="F218" s="18">
        <v>6691731</v>
      </c>
      <c r="G218" s="18">
        <v>13776498</v>
      </c>
    </row>
    <row r="219" spans="1:7" x14ac:dyDescent="0.3">
      <c r="A219" s="6" t="s">
        <v>111</v>
      </c>
      <c r="B219" s="17">
        <v>12453474.32</v>
      </c>
      <c r="C219" s="17">
        <v>3380658</v>
      </c>
      <c r="D219" s="19">
        <f t="shared" si="6"/>
        <v>1.3726139580879335</v>
      </c>
      <c r="E219" s="18">
        <f t="shared" si="7"/>
        <v>9072816.3200000003</v>
      </c>
      <c r="F219" s="17">
        <v>2910524.5</v>
      </c>
      <c r="G219" s="17">
        <v>6162291.8200000003</v>
      </c>
    </row>
    <row r="220" spans="1:7" x14ac:dyDescent="0.3">
      <c r="A220" s="6" t="s">
        <v>112</v>
      </c>
      <c r="B220" s="17">
        <v>3005054.93</v>
      </c>
      <c r="C220" s="17">
        <v>10315712.199999999</v>
      </c>
      <c r="D220" s="19">
        <f t="shared" si="6"/>
        <v>-0.41105126652996554</v>
      </c>
      <c r="E220" s="18">
        <f t="shared" si="7"/>
        <v>-7310657.2699999996</v>
      </c>
      <c r="F220" s="17">
        <v>1078067</v>
      </c>
      <c r="G220" s="17">
        <v>-8388724.2699999996</v>
      </c>
    </row>
    <row r="221" spans="1:7" s="15" customFormat="1" x14ac:dyDescent="0.3">
      <c r="A221" s="16" t="s">
        <v>182</v>
      </c>
      <c r="B221" s="18">
        <v>15458529.25</v>
      </c>
      <c r="C221" s="18">
        <v>13696370.199999999</v>
      </c>
      <c r="D221" s="24">
        <f t="shared" si="6"/>
        <v>8.7724937485069763</v>
      </c>
      <c r="E221" s="18">
        <f t="shared" si="7"/>
        <v>1762159.0500000007</v>
      </c>
      <c r="F221" s="18">
        <v>3988591.5</v>
      </c>
      <c r="G221" s="18">
        <v>-2226432.4500000002</v>
      </c>
    </row>
    <row r="222" spans="1:7" x14ac:dyDescent="0.3">
      <c r="A222" s="6" t="s">
        <v>111</v>
      </c>
      <c r="B222" s="17">
        <v>4434705.72</v>
      </c>
      <c r="C222" s="17">
        <v>4185964</v>
      </c>
      <c r="D222" s="19">
        <f t="shared" si="6"/>
        <v>17.828556142491916</v>
      </c>
      <c r="E222" s="18">
        <f t="shared" si="7"/>
        <v>248741.71999999974</v>
      </c>
      <c r="F222" s="6">
        <v>0</v>
      </c>
      <c r="G222" s="17">
        <v>248741.72</v>
      </c>
    </row>
    <row r="223" spans="1:7" x14ac:dyDescent="0.3">
      <c r="A223" s="6" t="s">
        <v>112</v>
      </c>
      <c r="B223" s="17">
        <v>3983422.15</v>
      </c>
      <c r="C223" s="17">
        <v>1400000</v>
      </c>
      <c r="D223" s="19">
        <f t="shared" si="6"/>
        <v>1.5419168524199578</v>
      </c>
      <c r="E223" s="18">
        <f t="shared" si="7"/>
        <v>2583422.15</v>
      </c>
      <c r="F223" s="17">
        <v>1782710</v>
      </c>
      <c r="G223" s="17">
        <v>800712.15</v>
      </c>
    </row>
    <row r="224" spans="1:7" s="15" customFormat="1" x14ac:dyDescent="0.3">
      <c r="A224" s="16" t="s">
        <v>183</v>
      </c>
      <c r="B224" s="18">
        <v>8418127.8699999992</v>
      </c>
      <c r="C224" s="18">
        <v>5585964</v>
      </c>
      <c r="D224" s="24">
        <f t="shared" si="6"/>
        <v>2.9723307888960542</v>
      </c>
      <c r="E224" s="18">
        <f t="shared" si="7"/>
        <v>2832163.8699999992</v>
      </c>
      <c r="F224" s="18">
        <v>1782710</v>
      </c>
      <c r="G224" s="18">
        <v>1049453.8700000001</v>
      </c>
    </row>
    <row r="225" spans="1:14" x14ac:dyDescent="0.3">
      <c r="A225" s="6" t="s">
        <v>111</v>
      </c>
      <c r="B225" s="17">
        <v>29612234</v>
      </c>
      <c r="C225" s="17">
        <v>17234544</v>
      </c>
      <c r="D225" s="19">
        <f t="shared" si="6"/>
        <v>2.3923877557120918</v>
      </c>
      <c r="E225" s="18">
        <f t="shared" si="7"/>
        <v>12377690</v>
      </c>
      <c r="F225" s="17">
        <v>4768944</v>
      </c>
      <c r="G225" s="17">
        <v>7608746</v>
      </c>
    </row>
    <row r="226" spans="1:14" x14ac:dyDescent="0.3">
      <c r="A226" s="6" t="s">
        <v>112</v>
      </c>
      <c r="B226" s="17">
        <v>15261750</v>
      </c>
      <c r="C226" s="17">
        <v>162451300</v>
      </c>
      <c r="D226" s="19">
        <f t="shared" si="6"/>
        <v>-0.10368772783122171</v>
      </c>
      <c r="E226" s="18">
        <f t="shared" si="7"/>
        <v>-147189550</v>
      </c>
      <c r="F226" s="17">
        <v>14140977</v>
      </c>
      <c r="G226" s="17">
        <v>-161330527</v>
      </c>
    </row>
    <row r="227" spans="1:14" x14ac:dyDescent="0.3">
      <c r="A227" s="6" t="s">
        <v>114</v>
      </c>
      <c r="B227" s="17">
        <v>60000000</v>
      </c>
      <c r="C227" s="6">
        <v>0</v>
      </c>
      <c r="D227" s="19">
        <f t="shared" si="6"/>
        <v>1</v>
      </c>
      <c r="E227" s="18">
        <f t="shared" si="7"/>
        <v>60000000</v>
      </c>
      <c r="F227" s="17">
        <v>21544004</v>
      </c>
      <c r="G227" s="17">
        <v>38455996</v>
      </c>
    </row>
    <row r="228" spans="1:14" s="15" customFormat="1" x14ac:dyDescent="0.3">
      <c r="A228" s="16" t="s">
        <v>184</v>
      </c>
      <c r="B228" s="18">
        <v>104873984</v>
      </c>
      <c r="C228" s="18">
        <v>179685844</v>
      </c>
      <c r="D228" s="24">
        <f t="shared" si="6"/>
        <v>-1.401836339853066</v>
      </c>
      <c r="E228" s="18">
        <f t="shared" si="7"/>
        <v>-74811860</v>
      </c>
      <c r="F228" s="18">
        <v>40453925</v>
      </c>
      <c r="G228" s="18">
        <v>-115265785</v>
      </c>
    </row>
    <row r="229" spans="1:14" x14ac:dyDescent="0.3">
      <c r="A229" s="6" t="s">
        <v>111</v>
      </c>
      <c r="B229" s="17">
        <v>1594051.46</v>
      </c>
      <c r="C229" s="6">
        <v>0</v>
      </c>
      <c r="D229" s="19">
        <f t="shared" si="6"/>
        <v>1</v>
      </c>
      <c r="E229" s="18">
        <f t="shared" si="7"/>
        <v>1594051.46</v>
      </c>
      <c r="F229" s="6">
        <v>0</v>
      </c>
      <c r="G229" s="17">
        <v>1594051.46</v>
      </c>
    </row>
    <row r="230" spans="1:14" x14ac:dyDescent="0.3">
      <c r="A230" s="6" t="s">
        <v>112</v>
      </c>
      <c r="B230" s="17">
        <v>9078268.5999999996</v>
      </c>
      <c r="C230" s="17">
        <v>1400000</v>
      </c>
      <c r="D230" s="19">
        <f t="shared" si="6"/>
        <v>1.1823327722606631</v>
      </c>
      <c r="E230" s="18">
        <f t="shared" si="7"/>
        <v>7678268.5999999996</v>
      </c>
      <c r="F230" s="17">
        <v>4885826</v>
      </c>
      <c r="G230" s="17">
        <v>2792442.6</v>
      </c>
    </row>
    <row r="231" spans="1:14" x14ac:dyDescent="0.3">
      <c r="A231" s="6" t="s">
        <v>114</v>
      </c>
      <c r="B231" s="17">
        <v>36000000</v>
      </c>
      <c r="C231" s="6">
        <v>0</v>
      </c>
      <c r="D231" s="19">
        <f t="shared" si="6"/>
        <v>1</v>
      </c>
      <c r="E231" s="18">
        <f t="shared" si="7"/>
        <v>36000000</v>
      </c>
      <c r="F231" s="6">
        <v>0</v>
      </c>
      <c r="G231" s="17">
        <v>36000000</v>
      </c>
    </row>
    <row r="232" spans="1:14" s="15" customFormat="1" x14ac:dyDescent="0.3">
      <c r="A232" s="16" t="s">
        <v>185</v>
      </c>
      <c r="B232" s="18">
        <v>46672320.060000002</v>
      </c>
      <c r="C232" s="18">
        <v>1400000</v>
      </c>
      <c r="D232" s="24">
        <f t="shared" si="6"/>
        <v>1.0309239729296966</v>
      </c>
      <c r="E232" s="18">
        <f t="shared" si="7"/>
        <v>45272320.060000002</v>
      </c>
      <c r="F232" s="18">
        <v>4885826</v>
      </c>
      <c r="G232" s="18">
        <v>40386494.060000002</v>
      </c>
    </row>
    <row r="233" spans="1:14" x14ac:dyDescent="0.3">
      <c r="A233" s="6" t="s">
        <v>111</v>
      </c>
      <c r="B233" s="17">
        <v>8276954.1399999997</v>
      </c>
      <c r="C233" s="17">
        <v>3367297</v>
      </c>
      <c r="D233" s="19">
        <f t="shared" si="6"/>
        <v>1.6858517619419755</v>
      </c>
      <c r="E233" s="18">
        <f t="shared" si="7"/>
        <v>4909657.1399999997</v>
      </c>
      <c r="F233" s="17">
        <v>3592735</v>
      </c>
      <c r="G233" s="17">
        <v>1316922.1399999999</v>
      </c>
      <c r="N233" s="15"/>
    </row>
    <row r="234" spans="1:14" x14ac:dyDescent="0.3">
      <c r="A234" s="6" t="s">
        <v>112</v>
      </c>
      <c r="B234" s="17">
        <v>24839079.100000001</v>
      </c>
      <c r="C234" s="17">
        <v>4291000</v>
      </c>
      <c r="D234" s="19">
        <f t="shared" si="6"/>
        <v>1.2088273059061758</v>
      </c>
      <c r="E234" s="18">
        <f t="shared" si="7"/>
        <v>20548079.100000001</v>
      </c>
      <c r="F234" s="17">
        <v>10098879</v>
      </c>
      <c r="G234" s="17">
        <v>10449200.1</v>
      </c>
    </row>
    <row r="235" spans="1:14" s="15" customFormat="1" x14ac:dyDescent="0.3">
      <c r="A235" s="16" t="s">
        <v>186</v>
      </c>
      <c r="B235" s="18">
        <v>33116033.239999998</v>
      </c>
      <c r="C235" s="18">
        <v>7658297</v>
      </c>
      <c r="D235" s="24">
        <f t="shared" si="6"/>
        <v>1.3008239588862989</v>
      </c>
      <c r="E235" s="18">
        <f t="shared" si="7"/>
        <v>25457736.239999998</v>
      </c>
      <c r="F235" s="18">
        <v>13691614</v>
      </c>
      <c r="G235" s="18">
        <v>11766122.24</v>
      </c>
    </row>
    <row r="236" spans="1:14" x14ac:dyDescent="0.3">
      <c r="A236" s="6" t="s">
        <v>111</v>
      </c>
      <c r="B236" s="17">
        <v>24839079.100000001</v>
      </c>
      <c r="C236" s="17">
        <v>605129</v>
      </c>
      <c r="D236" s="19">
        <f t="shared" si="6"/>
        <v>1.024970299827431</v>
      </c>
      <c r="E236" s="18">
        <f t="shared" si="7"/>
        <v>24233950.100000001</v>
      </c>
      <c r="F236" s="6">
        <v>0</v>
      </c>
      <c r="G236" s="17">
        <v>24233950.100000001</v>
      </c>
    </row>
    <row r="237" spans="1:14" x14ac:dyDescent="0.3">
      <c r="A237" s="6" t="s">
        <v>112</v>
      </c>
      <c r="B237" s="17">
        <v>5523673.1500000004</v>
      </c>
      <c r="C237" s="17">
        <v>4330105</v>
      </c>
      <c r="D237" s="19">
        <f t="shared" si="6"/>
        <v>4.6278657402176817</v>
      </c>
      <c r="E237" s="18">
        <f t="shared" si="7"/>
        <v>1193568.1500000004</v>
      </c>
      <c r="F237" s="6">
        <v>0</v>
      </c>
      <c r="G237" s="17">
        <v>1193568.1499999999</v>
      </c>
    </row>
    <row r="238" spans="1:14" s="15" customFormat="1" x14ac:dyDescent="0.3">
      <c r="A238" s="16" t="s">
        <v>187</v>
      </c>
      <c r="B238" s="18">
        <v>30362752.25</v>
      </c>
      <c r="C238" s="18">
        <v>4935234</v>
      </c>
      <c r="D238" s="24">
        <f t="shared" si="6"/>
        <v>1.1940902746181294</v>
      </c>
      <c r="E238" s="18">
        <f t="shared" si="7"/>
        <v>25427518.25</v>
      </c>
      <c r="F238" s="16">
        <v>0</v>
      </c>
      <c r="G238" s="18">
        <v>25427518.25</v>
      </c>
    </row>
    <row r="239" spans="1:14" x14ac:dyDescent="0.3">
      <c r="A239" s="6" t="s">
        <v>111</v>
      </c>
      <c r="B239" s="17">
        <v>20655713.48</v>
      </c>
      <c r="C239" s="17">
        <v>5966618</v>
      </c>
      <c r="D239" s="19">
        <f t="shared" si="6"/>
        <v>1.4061936970948192</v>
      </c>
      <c r="E239" s="18">
        <f t="shared" si="7"/>
        <v>14689095.48</v>
      </c>
      <c r="F239" s="17">
        <v>191410</v>
      </c>
      <c r="G239" s="17">
        <v>14497685.48</v>
      </c>
    </row>
    <row r="240" spans="1:14" x14ac:dyDescent="0.3">
      <c r="A240" s="6" t="s">
        <v>112</v>
      </c>
      <c r="B240" s="17">
        <v>71613705.299999997</v>
      </c>
      <c r="C240" s="17">
        <v>12901018</v>
      </c>
      <c r="D240" s="19">
        <f t="shared" si="6"/>
        <v>1.2197313492751676</v>
      </c>
      <c r="E240" s="18">
        <f t="shared" si="7"/>
        <v>58712687.299999997</v>
      </c>
      <c r="F240" s="17">
        <v>2205331.7000000002</v>
      </c>
      <c r="G240" s="17">
        <v>56507355.600000001</v>
      </c>
    </row>
    <row r="241" spans="1:7" s="15" customFormat="1" x14ac:dyDescent="0.3">
      <c r="A241" s="16" t="s">
        <v>188</v>
      </c>
      <c r="B241" s="18">
        <v>92269418.780000001</v>
      </c>
      <c r="C241" s="18">
        <v>18867636</v>
      </c>
      <c r="D241" s="24">
        <f t="shared" si="6"/>
        <v>1.2570460183038077</v>
      </c>
      <c r="E241" s="18">
        <f t="shared" si="7"/>
        <v>73401782.780000001</v>
      </c>
      <c r="F241" s="18">
        <v>2396741.7000000002</v>
      </c>
      <c r="G241" s="18">
        <v>71005041.079999998</v>
      </c>
    </row>
    <row r="242" spans="1:7" x14ac:dyDescent="0.3">
      <c r="A242" s="6" t="s">
        <v>111</v>
      </c>
      <c r="B242" s="17">
        <v>1617274.64</v>
      </c>
      <c r="C242" s="6">
        <v>0</v>
      </c>
      <c r="D242" s="19">
        <f t="shared" si="6"/>
        <v>1</v>
      </c>
      <c r="E242" s="18">
        <f t="shared" si="7"/>
        <v>1617274.64</v>
      </c>
      <c r="F242" s="17">
        <v>1900000</v>
      </c>
      <c r="G242" s="17">
        <v>-282725.36</v>
      </c>
    </row>
    <row r="243" spans="1:7" x14ac:dyDescent="0.3">
      <c r="A243" s="6" t="s">
        <v>112</v>
      </c>
      <c r="B243" s="17">
        <v>7007649.9000000004</v>
      </c>
      <c r="C243" s="17">
        <v>10890441.949999999</v>
      </c>
      <c r="D243" s="19">
        <f t="shared" si="6"/>
        <v>-1.8047966024860904</v>
      </c>
      <c r="E243" s="18">
        <f t="shared" si="7"/>
        <v>-3882792.0499999989</v>
      </c>
      <c r="F243" s="17">
        <v>6731074.5499999998</v>
      </c>
      <c r="G243" s="17">
        <v>-10613866.6</v>
      </c>
    </row>
    <row r="244" spans="1:7" s="15" customFormat="1" x14ac:dyDescent="0.3">
      <c r="A244" s="16" t="s">
        <v>189</v>
      </c>
      <c r="B244" s="18">
        <v>8624924.5399999991</v>
      </c>
      <c r="C244" s="18">
        <v>10890441.949999999</v>
      </c>
      <c r="D244" s="24">
        <f t="shared" si="6"/>
        <v>-3.8070440341484724</v>
      </c>
      <c r="E244" s="18">
        <f t="shared" si="7"/>
        <v>-2265517.41</v>
      </c>
      <c r="F244" s="18">
        <v>8631074.5500000007</v>
      </c>
      <c r="G244" s="18">
        <v>-10896591.960000001</v>
      </c>
    </row>
    <row r="245" spans="1:7" x14ac:dyDescent="0.3">
      <c r="A245" s="6" t="s">
        <v>111</v>
      </c>
      <c r="B245" s="17">
        <v>5738253.6399999997</v>
      </c>
      <c r="C245" s="17">
        <v>3700000</v>
      </c>
      <c r="D245" s="19">
        <f t="shared" si="6"/>
        <v>2.8152794762088593</v>
      </c>
      <c r="E245" s="18">
        <f t="shared" si="7"/>
        <v>2038253.6399999997</v>
      </c>
      <c r="F245" s="6">
        <v>0</v>
      </c>
      <c r="G245" s="17">
        <v>2038253.64</v>
      </c>
    </row>
    <row r="246" spans="1:7" x14ac:dyDescent="0.3">
      <c r="A246" s="6" t="s">
        <v>112</v>
      </c>
      <c r="B246" s="17">
        <v>7007649.9000000004</v>
      </c>
      <c r="C246" s="17">
        <v>5880000</v>
      </c>
      <c r="D246" s="19">
        <f t="shared" si="6"/>
        <v>6.2143843581239162</v>
      </c>
      <c r="E246" s="18">
        <f t="shared" si="7"/>
        <v>1127649.9000000004</v>
      </c>
      <c r="F246" s="6">
        <v>0</v>
      </c>
      <c r="G246" s="17">
        <v>1127649.8999999999</v>
      </c>
    </row>
    <row r="247" spans="1:7" s="15" customFormat="1" x14ac:dyDescent="0.3">
      <c r="A247" s="16" t="s">
        <v>190</v>
      </c>
      <c r="B247" s="18">
        <v>12745903.539999999</v>
      </c>
      <c r="C247" s="18">
        <v>9580000</v>
      </c>
      <c r="D247" s="24">
        <f t="shared" si="6"/>
        <v>4.0259923838361802</v>
      </c>
      <c r="E247" s="18">
        <f t="shared" si="7"/>
        <v>3165903.5399999991</v>
      </c>
      <c r="F247" s="16">
        <v>0</v>
      </c>
      <c r="G247" s="18">
        <v>3165903.54</v>
      </c>
    </row>
    <row r="248" spans="1:7" x14ac:dyDescent="0.3">
      <c r="A248" s="6" t="s">
        <v>111</v>
      </c>
      <c r="B248" s="17">
        <v>6997188.0800000001</v>
      </c>
      <c r="C248" s="17">
        <v>390775</v>
      </c>
      <c r="D248" s="19">
        <f t="shared" si="6"/>
        <v>1.0591508576996218</v>
      </c>
      <c r="E248" s="18">
        <f t="shared" si="7"/>
        <v>6606413.0800000001</v>
      </c>
      <c r="F248" s="6">
        <v>0</v>
      </c>
      <c r="G248" s="17">
        <v>6606413.0800000001</v>
      </c>
    </row>
    <row r="249" spans="1:7" x14ac:dyDescent="0.3">
      <c r="A249" s="6" t="s">
        <v>112</v>
      </c>
      <c r="B249" s="17">
        <v>29750000</v>
      </c>
      <c r="C249" s="17">
        <v>14046386.77</v>
      </c>
      <c r="D249" s="19">
        <f t="shared" si="6"/>
        <v>1.8944684617655982</v>
      </c>
      <c r="E249" s="18">
        <f t="shared" si="7"/>
        <v>15703613.23</v>
      </c>
      <c r="F249" s="17">
        <v>4214432</v>
      </c>
      <c r="G249" s="17">
        <v>11489181.23</v>
      </c>
    </row>
    <row r="250" spans="1:7" s="15" customFormat="1" x14ac:dyDescent="0.3">
      <c r="A250" s="16" t="s">
        <v>191</v>
      </c>
      <c r="B250" s="18">
        <v>36747188.079999998</v>
      </c>
      <c r="C250" s="18">
        <v>14437161.77</v>
      </c>
      <c r="D250" s="24">
        <f t="shared" si="6"/>
        <v>1.6471154076375449</v>
      </c>
      <c r="E250" s="18">
        <f t="shared" si="7"/>
        <v>22310026.309999999</v>
      </c>
      <c r="F250" s="18">
        <v>4214432</v>
      </c>
      <c r="G250" s="18">
        <v>18095594.309999999</v>
      </c>
    </row>
    <row r="251" spans="1:7" s="15" customFormat="1" x14ac:dyDescent="0.3">
      <c r="A251" s="16" t="s">
        <v>192</v>
      </c>
      <c r="B251" s="18">
        <v>46299870475.650002</v>
      </c>
      <c r="C251" s="18">
        <v>26421489427.900002</v>
      </c>
      <c r="D251" s="24">
        <f t="shared" si="6"/>
        <v>2.32915700551432</v>
      </c>
      <c r="E251" s="18">
        <f t="shared" si="7"/>
        <v>19878381047.75</v>
      </c>
      <c r="F251" s="18">
        <v>32915540040.509998</v>
      </c>
      <c r="G251" s="18">
        <v>-13037158992.700001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S29"/>
  <sheetViews>
    <sheetView zoomScale="120" zoomScaleNormal="120" workbookViewId="0">
      <selection activeCell="D17" sqref="D17"/>
    </sheetView>
  </sheetViews>
  <sheetFormatPr defaultRowHeight="14.4" x14ac:dyDescent="0.3"/>
  <cols>
    <col min="1" max="1" width="6.33203125" style="5" customWidth="1"/>
    <col min="2" max="2" width="28.44140625" customWidth="1"/>
    <col min="3" max="4" width="17.33203125" bestFit="1" customWidth="1"/>
    <col min="5" max="5" width="15.109375" bestFit="1" customWidth="1"/>
    <col min="7" max="7" width="14.88671875" bestFit="1" customWidth="1"/>
    <col min="9" max="9" width="13.88671875" bestFit="1" customWidth="1"/>
    <col min="10" max="10" width="12.5546875" bestFit="1" customWidth="1"/>
    <col min="11" max="11" width="11" bestFit="1" customWidth="1"/>
    <col min="13" max="14" width="17.33203125" bestFit="1" customWidth="1"/>
    <col min="15" max="15" width="16.109375" bestFit="1" customWidth="1"/>
    <col min="16" max="16" width="17.33203125" bestFit="1" customWidth="1"/>
    <col min="17" max="17" width="14.6640625" bestFit="1" customWidth="1"/>
    <col min="18" max="18" width="17.33203125" bestFit="1" customWidth="1"/>
    <col min="19" max="19" width="12" bestFit="1" customWidth="1"/>
  </cols>
  <sheetData>
    <row r="4" spans="1:19" x14ac:dyDescent="0.3">
      <c r="A4" s="6"/>
      <c r="B4" s="180" t="s">
        <v>206</v>
      </c>
      <c r="C4" s="180"/>
      <c r="D4" s="180"/>
    </row>
    <row r="5" spans="1:19" s="5" customFormat="1" x14ac:dyDescent="0.3">
      <c r="A5" s="6"/>
      <c r="B5" s="29" t="s">
        <v>210</v>
      </c>
      <c r="C5" s="29" t="s">
        <v>203</v>
      </c>
      <c r="D5" s="29" t="s">
        <v>205</v>
      </c>
    </row>
    <row r="6" spans="1:19" x14ac:dyDescent="0.3">
      <c r="A6" s="35">
        <v>1</v>
      </c>
      <c r="B6" s="16" t="s">
        <v>199</v>
      </c>
      <c r="C6" s="11"/>
      <c r="D6" s="11">
        <f>153999081*3</f>
        <v>461997243</v>
      </c>
      <c r="J6" s="12">
        <v>5885094</v>
      </c>
      <c r="K6" s="13">
        <v>0</v>
      </c>
    </row>
    <row r="7" spans="1:19" x14ac:dyDescent="0.3">
      <c r="A7" s="35">
        <v>2</v>
      </c>
      <c r="B7" s="16" t="s">
        <v>207</v>
      </c>
      <c r="C7" s="11"/>
      <c r="D7" s="11">
        <f>676178250*6</f>
        <v>4057069500</v>
      </c>
      <c r="J7" s="12">
        <v>5916094</v>
      </c>
      <c r="K7" s="13">
        <f>J7*11</f>
        <v>65077034</v>
      </c>
    </row>
    <row r="8" spans="1:19" x14ac:dyDescent="0.3">
      <c r="A8" s="35">
        <v>3</v>
      </c>
      <c r="B8" s="16" t="s">
        <v>208</v>
      </c>
      <c r="C8" s="11"/>
      <c r="D8" s="11">
        <f>925022445*3</f>
        <v>2775067335</v>
      </c>
      <c r="K8" s="13">
        <f>SUM(K6:K7)</f>
        <v>65077034</v>
      </c>
      <c r="M8" t="s">
        <v>211</v>
      </c>
      <c r="N8" t="s">
        <v>105</v>
      </c>
      <c r="O8" t="s">
        <v>106</v>
      </c>
      <c r="P8" t="s">
        <v>212</v>
      </c>
      <c r="Q8" t="s">
        <v>213</v>
      </c>
      <c r="R8" s="12">
        <v>3000000000</v>
      </c>
    </row>
    <row r="9" spans="1:19" s="5" customFormat="1" x14ac:dyDescent="0.3">
      <c r="A9" s="35">
        <v>4</v>
      </c>
      <c r="B9" s="16" t="s">
        <v>209</v>
      </c>
      <c r="C9" s="11">
        <f>K8</f>
        <v>65077034</v>
      </c>
      <c r="D9" s="11">
        <f>C9*155</f>
        <v>10086940270</v>
      </c>
      <c r="M9" s="12">
        <v>23061890909</v>
      </c>
      <c r="N9" s="12">
        <v>10212115904.796883</v>
      </c>
      <c r="O9" s="12">
        <v>5416792214</v>
      </c>
      <c r="P9" s="12">
        <v>10156200972</v>
      </c>
      <c r="Q9" s="12">
        <v>540000000</v>
      </c>
      <c r="R9" s="13">
        <f>SUM(M9:Q9)</f>
        <v>49386999999.796883</v>
      </c>
    </row>
    <row r="10" spans="1:19" s="5" customFormat="1" x14ac:dyDescent="0.3">
      <c r="A10" s="35"/>
      <c r="B10" s="16" t="s">
        <v>93</v>
      </c>
      <c r="C10" s="30">
        <f>SUM(C9)</f>
        <v>65077034</v>
      </c>
      <c r="D10" s="31">
        <f>SUM(D6:D9)</f>
        <v>17381074348</v>
      </c>
      <c r="E10" s="13">
        <f>D10-D7</f>
        <v>13324004848</v>
      </c>
      <c r="M10" s="12">
        <f>E10</f>
        <v>13324004848</v>
      </c>
      <c r="P10" s="12">
        <f>D7</f>
        <v>4057069500</v>
      </c>
      <c r="R10" s="13">
        <f>SUM(M10:Q10)</f>
        <v>17381074348</v>
      </c>
    </row>
    <row r="11" spans="1:19" x14ac:dyDescent="0.3">
      <c r="A11" s="35"/>
      <c r="B11" s="180" t="s">
        <v>204</v>
      </c>
      <c r="C11" s="180"/>
      <c r="D11" s="180"/>
      <c r="M11" s="13">
        <f>SUM(M9:M10)</f>
        <v>36385895757</v>
      </c>
      <c r="P11" s="13">
        <f>SUM(P9:P10)</f>
        <v>14213270472</v>
      </c>
      <c r="R11" s="13">
        <f>SUM(R8:R10)</f>
        <v>69768074347.796875</v>
      </c>
    </row>
    <row r="12" spans="1:19" x14ac:dyDescent="0.3">
      <c r="A12" s="35"/>
      <c r="B12" s="29" t="s">
        <v>210</v>
      </c>
      <c r="C12" s="29" t="s">
        <v>203</v>
      </c>
      <c r="D12" s="29" t="s">
        <v>205</v>
      </c>
      <c r="G12" s="33"/>
      <c r="R12" s="12">
        <v>46404000000</v>
      </c>
    </row>
    <row r="13" spans="1:19" x14ac:dyDescent="0.3">
      <c r="A13" s="35">
        <v>1</v>
      </c>
      <c r="B13" s="16" t="s">
        <v>200</v>
      </c>
      <c r="C13" s="11">
        <v>42000000</v>
      </c>
      <c r="D13" s="34">
        <f>C13*155</f>
        <v>6510000000</v>
      </c>
      <c r="E13" s="13">
        <f>D13+D14</f>
        <v>7845767835</v>
      </c>
      <c r="R13" s="13">
        <f>R11-R12</f>
        <v>23364074347.796875</v>
      </c>
    </row>
    <row r="14" spans="1:19" x14ac:dyDescent="0.3">
      <c r="A14" s="35">
        <v>2</v>
      </c>
      <c r="B14" s="16" t="s">
        <v>201</v>
      </c>
      <c r="C14" s="11">
        <v>8617857</v>
      </c>
      <c r="D14" s="34">
        <f>C14*155</f>
        <v>1335767835</v>
      </c>
      <c r="R14" s="12">
        <f>R13/155</f>
        <v>150735963.5341734</v>
      </c>
    </row>
    <row r="15" spans="1:19" x14ac:dyDescent="0.3">
      <c r="A15" s="35">
        <v>3</v>
      </c>
      <c r="B15" s="16" t="s">
        <v>202</v>
      </c>
      <c r="C15" s="11">
        <v>40864167</v>
      </c>
      <c r="D15" s="32">
        <f>C15*155</f>
        <v>6333945885</v>
      </c>
      <c r="R15" s="36">
        <v>3116610</v>
      </c>
      <c r="S15" s="37">
        <f>R15*155</f>
        <v>483074550</v>
      </c>
    </row>
    <row r="16" spans="1:19" x14ac:dyDescent="0.3">
      <c r="A16" s="6"/>
      <c r="B16" s="16" t="s">
        <v>93</v>
      </c>
      <c r="C16" s="31">
        <f>SUM(C13:C15)</f>
        <v>91482024</v>
      </c>
      <c r="D16" s="31">
        <f>SUM(D13:D15)</f>
        <v>14179713720</v>
      </c>
      <c r="G16" s="12">
        <v>100000000</v>
      </c>
      <c r="H16">
        <v>4</v>
      </c>
      <c r="I16" s="12">
        <f>G16/H16</f>
        <v>25000000</v>
      </c>
      <c r="R16" s="38">
        <v>616621</v>
      </c>
      <c r="S16" s="39">
        <f t="shared" ref="S16:S22" si="0">R16*155</f>
        <v>95576255</v>
      </c>
    </row>
    <row r="17" spans="2:19" x14ac:dyDescent="0.3">
      <c r="R17" s="38">
        <v>1738888</v>
      </c>
      <c r="S17" s="39">
        <f t="shared" si="0"/>
        <v>269527640</v>
      </c>
    </row>
    <row r="18" spans="2:19" x14ac:dyDescent="0.3">
      <c r="R18" s="38">
        <v>53400</v>
      </c>
      <c r="S18" s="39">
        <f t="shared" si="0"/>
        <v>8277000</v>
      </c>
    </row>
    <row r="19" spans="2:19" x14ac:dyDescent="0.3">
      <c r="D19" s="12">
        <v>52486999999.796883</v>
      </c>
      <c r="R19" s="38">
        <v>359575</v>
      </c>
      <c r="S19" s="39">
        <f t="shared" si="0"/>
        <v>55734125</v>
      </c>
    </row>
    <row r="20" spans="2:19" x14ac:dyDescent="0.3">
      <c r="D20" s="13">
        <f>D10</f>
        <v>17381074348</v>
      </c>
      <c r="R20" s="38">
        <v>96000</v>
      </c>
      <c r="S20" s="39">
        <f t="shared" si="0"/>
        <v>14880000</v>
      </c>
    </row>
    <row r="21" spans="2:19" x14ac:dyDescent="0.3">
      <c r="C21" s="12"/>
      <c r="D21" s="13">
        <f>D19+D20</f>
        <v>69868074347.796875</v>
      </c>
      <c r="R21" s="38">
        <v>96000</v>
      </c>
      <c r="S21" s="39">
        <f t="shared" si="0"/>
        <v>14880000</v>
      </c>
    </row>
    <row r="22" spans="2:19" x14ac:dyDescent="0.3">
      <c r="C22" s="12"/>
      <c r="D22" s="13">
        <f>D21-R11</f>
        <v>100000000</v>
      </c>
      <c r="R22" s="40">
        <f>SUM(R15:R21)</f>
        <v>6077094</v>
      </c>
      <c r="S22" s="41">
        <f t="shared" si="0"/>
        <v>941949570</v>
      </c>
    </row>
    <row r="23" spans="2:19" x14ac:dyDescent="0.3">
      <c r="C23" s="12"/>
    </row>
    <row r="24" spans="2:19" x14ac:dyDescent="0.3">
      <c r="B24" s="42"/>
      <c r="C24" s="43" t="s">
        <v>214</v>
      </c>
      <c r="D24" s="44"/>
      <c r="E24" s="45"/>
    </row>
    <row r="25" spans="2:19" x14ac:dyDescent="0.3">
      <c r="B25" s="46"/>
      <c r="C25" s="47" t="s">
        <v>217</v>
      </c>
      <c r="D25" s="47" t="s">
        <v>218</v>
      </c>
      <c r="E25" s="48" t="s">
        <v>205</v>
      </c>
    </row>
    <row r="26" spans="2:19" x14ac:dyDescent="0.3">
      <c r="B26" s="46" t="s">
        <v>203</v>
      </c>
      <c r="C26" s="49">
        <v>4366314.03</v>
      </c>
      <c r="D26" s="50">
        <v>134.98990000000001</v>
      </c>
      <c r="E26" s="51">
        <f>C26*D26</f>
        <v>589408294.27829707</v>
      </c>
    </row>
    <row r="27" spans="2:19" x14ac:dyDescent="0.3">
      <c r="B27" s="46" t="s">
        <v>215</v>
      </c>
      <c r="C27" s="49">
        <v>184056</v>
      </c>
      <c r="D27" s="47">
        <v>166.36150000000001</v>
      </c>
      <c r="E27" s="51">
        <f t="shared" ref="E27:E28" si="1">C27*D27</f>
        <v>30619832.244000003</v>
      </c>
    </row>
    <row r="28" spans="2:19" x14ac:dyDescent="0.3">
      <c r="B28" s="46" t="s">
        <v>216</v>
      </c>
      <c r="C28" s="49">
        <v>75164</v>
      </c>
      <c r="D28" s="47">
        <v>142.49959999999999</v>
      </c>
      <c r="E28" s="51">
        <f t="shared" si="1"/>
        <v>10710839.9344</v>
      </c>
    </row>
    <row r="29" spans="2:19" x14ac:dyDescent="0.3">
      <c r="B29" s="52"/>
      <c r="C29" s="53"/>
      <c r="D29" s="55" t="s">
        <v>93</v>
      </c>
      <c r="E29" s="54">
        <f>SUM(E26:E28)</f>
        <v>630738966.45669699</v>
      </c>
    </row>
  </sheetData>
  <mergeCells count="2">
    <mergeCell ref="B11:D11"/>
    <mergeCell ref="B4:D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SUPPLEMENTARY</vt:lpstr>
      <vt:lpstr>2018-19 FY</vt:lpstr>
      <vt:lpstr>Sheet1</vt:lpstr>
      <vt:lpstr>New Findings </vt:lpstr>
      <vt:lpstr>'2018-19 FY'!Print_Area</vt:lpstr>
      <vt:lpstr>'2018-19 FY'!Print_Titles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2018-05-14T08:30:58Z</cp:lastPrinted>
  <dcterms:created xsi:type="dcterms:W3CDTF">2017-12-27T09:59:12Z</dcterms:created>
  <dcterms:modified xsi:type="dcterms:W3CDTF">2018-06-01T07:52:23Z</dcterms:modified>
</cp:coreProperties>
</file>